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295" windowHeight="4620" firstSheet="4" activeTab="13"/>
  </bookViews>
  <sheets>
    <sheet name="Sheet6" sheetId="23" r:id="rId1"/>
    <sheet name="plat lantai" sheetId="22" r:id="rId2"/>
    <sheet name="pek. balok" sheetId="21" r:id="rId3"/>
    <sheet name="pek.Kolom" sheetId="20" r:id="rId4"/>
    <sheet name="Sheet2" sheetId="17" r:id="rId5"/>
    <sheet name="Bahan &amp; Upah" sheetId="8" r:id="rId6"/>
    <sheet name="Analisa Print" sheetId="9" r:id="rId7"/>
    <sheet name="Rekap Volume" sheetId="7" r:id="rId8"/>
    <sheet name="RAB" sheetId="10" r:id="rId9"/>
    <sheet name="Rekap RAB " sheetId="11" r:id="rId10"/>
    <sheet name="TS" sheetId="13" r:id="rId11"/>
    <sheet name="TS &amp; CS" sheetId="12" r:id="rId12"/>
    <sheet name="Plan TS" sheetId="14" r:id="rId13"/>
    <sheet name="Rekap CF" sheetId="15" r:id="rId14"/>
    <sheet name="Cash Flow" sheetId="6" r:id="rId15"/>
    <sheet name="Pek. CCE" sheetId="18" r:id="rId16"/>
    <sheet name="Sheet3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'Analisa Print'!$A$1:$I$1726</definedName>
    <definedName name="_xlnm.Print_Area" localSheetId="5">'Bahan &amp; Upah'!$A$1:$F$265</definedName>
    <definedName name="_xlnm.Print_Area" localSheetId="14">'Cash Flow'!$A$1:$AF$39</definedName>
    <definedName name="_xlnm.Print_Area" localSheetId="8">RAB!$B$1:$J$252</definedName>
    <definedName name="_xlnm.Print_Area" localSheetId="9">'Rekap RAB '!$A$1:$E$22</definedName>
    <definedName name="_xlnm.Print_Area" localSheetId="7">'Rekap Volume'!$A$1:$J$379</definedName>
    <definedName name="_xlnm.Print_Area" localSheetId="10">TS!$B$1:$AD$26</definedName>
    <definedName name="_xlnm.Print_Area" localSheetId="11">'TS &amp; CS'!$A$1:$AE$25</definedName>
  </definedNames>
  <calcPr calcId="124519"/>
</workbook>
</file>

<file path=xl/calcChain.xml><?xml version="1.0" encoding="utf-8"?>
<calcChain xmlns="http://schemas.openxmlformats.org/spreadsheetml/2006/main">
  <c r="J378" i="7"/>
  <c r="J377"/>
  <c r="J376"/>
  <c r="J374"/>
  <c r="J371"/>
  <c r="J370"/>
  <c r="J369"/>
  <c r="J367"/>
  <c r="J364"/>
  <c r="J363"/>
  <c r="J362"/>
  <c r="J360"/>
  <c r="J357"/>
  <c r="J356"/>
  <c r="J355"/>
  <c r="J353"/>
  <c r="J349"/>
  <c r="J348"/>
  <c r="J347"/>
  <c r="J345"/>
  <c r="J342"/>
  <c r="J341"/>
  <c r="J340"/>
  <c r="J338"/>
  <c r="J335"/>
  <c r="J334"/>
  <c r="J333"/>
  <c r="J332"/>
  <c r="J330"/>
  <c r="J327"/>
  <c r="J326"/>
  <c r="J325"/>
  <c r="J323"/>
  <c r="J319"/>
  <c r="J318"/>
  <c r="J317"/>
  <c r="J315"/>
  <c r="J312"/>
  <c r="J311"/>
  <c r="J310"/>
  <c r="J308"/>
  <c r="J305"/>
  <c r="J304"/>
  <c r="J303"/>
  <c r="J301"/>
  <c r="J298"/>
  <c r="J297"/>
  <c r="J296"/>
  <c r="J295"/>
  <c r="J293"/>
  <c r="J290"/>
  <c r="J289"/>
  <c r="J288"/>
  <c r="J286"/>
  <c r="J283"/>
  <c r="J282"/>
  <c r="J281"/>
  <c r="J279"/>
  <c r="J276"/>
  <c r="J275"/>
  <c r="J274"/>
  <c r="J272"/>
  <c r="J269"/>
  <c r="J268"/>
  <c r="J267"/>
  <c r="J266"/>
  <c r="J264"/>
  <c r="J260"/>
  <c r="J259"/>
  <c r="J258"/>
  <c r="J256"/>
  <c r="J253"/>
  <c r="J252"/>
  <c r="J251"/>
  <c r="J249"/>
  <c r="J246"/>
  <c r="J245"/>
  <c r="J244"/>
  <c r="J242"/>
  <c r="J239"/>
  <c r="J238"/>
  <c r="J237"/>
  <c r="J235"/>
  <c r="J231"/>
  <c r="J230"/>
  <c r="J229"/>
  <c r="J227"/>
  <c r="J224"/>
  <c r="J223"/>
  <c r="J222"/>
  <c r="J220"/>
  <c r="J217"/>
  <c r="J216"/>
  <c r="J215"/>
  <c r="J213"/>
  <c r="J210"/>
  <c r="J209"/>
  <c r="J208"/>
  <c r="J206"/>
  <c r="J202"/>
  <c r="J201"/>
  <c r="J200"/>
  <c r="J198"/>
  <c r="J195"/>
  <c r="J194"/>
  <c r="J193"/>
  <c r="J191"/>
  <c r="J188"/>
  <c r="J187"/>
  <c r="J186"/>
  <c r="J184"/>
  <c r="J181"/>
  <c r="J180"/>
  <c r="J179"/>
  <c r="J177"/>
  <c r="J174"/>
  <c r="J173"/>
  <c r="J172"/>
  <c r="J170"/>
  <c r="J167"/>
  <c r="J166"/>
  <c r="J165"/>
  <c r="J163"/>
  <c r="J160"/>
  <c r="J159"/>
  <c r="J158"/>
  <c r="J156"/>
  <c r="J153"/>
  <c r="J152"/>
  <c r="J151"/>
  <c r="J149"/>
  <c r="J146"/>
  <c r="J145"/>
  <c r="J144"/>
  <c r="J142"/>
  <c r="J138"/>
  <c r="J137"/>
  <c r="J136"/>
  <c r="J134"/>
  <c r="J131"/>
  <c r="J130"/>
  <c r="J129"/>
  <c r="J127"/>
  <c r="J124"/>
  <c r="J123"/>
  <c r="J122"/>
  <c r="J120"/>
  <c r="J117"/>
  <c r="J116"/>
  <c r="J115"/>
  <c r="J113"/>
  <c r="J110"/>
  <c r="J109"/>
  <c r="J108"/>
  <c r="J106"/>
  <c r="J103"/>
  <c r="J102"/>
  <c r="J101"/>
  <c r="J99"/>
  <c r="J96"/>
  <c r="J95"/>
  <c r="J94"/>
  <c r="J92"/>
  <c r="J89"/>
  <c r="J88"/>
  <c r="J87"/>
  <c r="J85"/>
  <c r="J82"/>
  <c r="J81"/>
  <c r="J80"/>
  <c r="J78"/>
  <c r="J75"/>
  <c r="J74"/>
  <c r="J73"/>
  <c r="J71"/>
  <c r="J68"/>
  <c r="J67"/>
  <c r="J66"/>
  <c r="J64"/>
  <c r="J62"/>
  <c r="J61"/>
  <c r="J60"/>
  <c r="J58"/>
  <c r="J55"/>
  <c r="J54"/>
  <c r="J53"/>
  <c r="J51"/>
  <c r="J48"/>
  <c r="J47"/>
  <c r="J46"/>
  <c r="J44"/>
  <c r="J41"/>
  <c r="J40"/>
  <c r="J39"/>
  <c r="J37"/>
  <c r="J34"/>
  <c r="J33"/>
  <c r="J32"/>
  <c r="J30"/>
  <c r="J27"/>
  <c r="J26"/>
  <c r="J25"/>
  <c r="J23"/>
  <c r="J20"/>
  <c r="J19"/>
  <c r="J18"/>
  <c r="J16"/>
  <c r="J13"/>
  <c r="J12"/>
  <c r="J11"/>
  <c r="J9"/>
  <c r="AL383" i="23"/>
  <c r="AJ383"/>
  <c r="AL382"/>
  <c r="AJ382"/>
  <c r="AG382"/>
  <c r="AE382"/>
  <c r="AC382"/>
  <c r="AI382" s="1"/>
  <c r="AB382"/>
  <c r="N382"/>
  <c r="AL381"/>
  <c r="AJ381"/>
  <c r="AG381"/>
  <c r="AE381"/>
  <c r="AI381" s="1"/>
  <c r="AB381"/>
  <c r="AL380"/>
  <c r="AJ380"/>
  <c r="AG380"/>
  <c r="AE380"/>
  <c r="AI380" s="1"/>
  <c r="AB380"/>
  <c r="L380"/>
  <c r="AL379"/>
  <c r="AJ379"/>
  <c r="AG379"/>
  <c r="AE379"/>
  <c r="AC379"/>
  <c r="AI379" s="1"/>
  <c r="AB379"/>
  <c r="V379"/>
  <c r="T379"/>
  <c r="X379" s="1"/>
  <c r="S379"/>
  <c r="L379"/>
  <c r="AL378"/>
  <c r="AJ378"/>
  <c r="AG378"/>
  <c r="AE378"/>
  <c r="AI378" s="1"/>
  <c r="AB378"/>
  <c r="V378"/>
  <c r="T378"/>
  <c r="X378" s="1"/>
  <c r="N378"/>
  <c r="L378"/>
  <c r="AL376"/>
  <c r="AJ376"/>
  <c r="N376"/>
  <c r="AL375"/>
  <c r="AJ375"/>
  <c r="AG375"/>
  <c r="AE375"/>
  <c r="AC375"/>
  <c r="AL374"/>
  <c r="AJ374"/>
  <c r="AG374"/>
  <c r="AE374"/>
  <c r="AI374" s="1"/>
  <c r="AB374"/>
  <c r="AL373"/>
  <c r="AJ373"/>
  <c r="AG373"/>
  <c r="AE373"/>
  <c r="AI373" s="1"/>
  <c r="AB373"/>
  <c r="L373"/>
  <c r="AL372"/>
  <c r="AJ372"/>
  <c r="AG372"/>
  <c r="AE372"/>
  <c r="AC372"/>
  <c r="AI372" s="1"/>
  <c r="AB372"/>
  <c r="V372"/>
  <c r="T372"/>
  <c r="X372" s="1"/>
  <c r="S372"/>
  <c r="L372"/>
  <c r="H372"/>
  <c r="N375" s="1"/>
  <c r="AL371"/>
  <c r="AJ371"/>
  <c r="AG371"/>
  <c r="AE371"/>
  <c r="AC371"/>
  <c r="AI371" s="1"/>
  <c r="AB371"/>
  <c r="V371"/>
  <c r="T371"/>
  <c r="X371" s="1"/>
  <c r="N371"/>
  <c r="L371"/>
  <c r="AL369"/>
  <c r="AJ369"/>
  <c r="N369"/>
  <c r="AL368"/>
  <c r="AJ368"/>
  <c r="AG368"/>
  <c r="AE368"/>
  <c r="AI368" s="1"/>
  <c r="AC368"/>
  <c r="AB368"/>
  <c r="N368"/>
  <c r="AL367"/>
  <c r="AJ367"/>
  <c r="AG367"/>
  <c r="AE367"/>
  <c r="AI367" s="1"/>
  <c r="AB367"/>
  <c r="AL366"/>
  <c r="AJ366"/>
  <c r="AG366"/>
  <c r="AE366"/>
  <c r="AI366" s="1"/>
  <c r="AB366"/>
  <c r="L366"/>
  <c r="AL365"/>
  <c r="AJ365"/>
  <c r="AG365"/>
  <c r="AE365"/>
  <c r="AI365" s="1"/>
  <c r="AB365"/>
  <c r="V365"/>
  <c r="T365"/>
  <c r="X365" s="1"/>
  <c r="S365"/>
  <c r="L365"/>
  <c r="AL364"/>
  <c r="AL384" s="1"/>
  <c r="AJ364"/>
  <c r="AJ384" s="1"/>
  <c r="AG364"/>
  <c r="AE364"/>
  <c r="AI364" s="1"/>
  <c r="AB364"/>
  <c r="V364"/>
  <c r="T364"/>
  <c r="X364" s="1"/>
  <c r="N364"/>
  <c r="N384" s="1"/>
  <c r="L364"/>
  <c r="L384" s="1"/>
  <c r="AL360"/>
  <c r="AJ360"/>
  <c r="N360"/>
  <c r="AL359"/>
  <c r="AJ359"/>
  <c r="AG359"/>
  <c r="AE359"/>
  <c r="AC359"/>
  <c r="AI359" s="1"/>
  <c r="AB359"/>
  <c r="N359"/>
  <c r="AL358"/>
  <c r="AJ358"/>
  <c r="AG358"/>
  <c r="AE358"/>
  <c r="AI358" s="1"/>
  <c r="AB358"/>
  <c r="AL357"/>
  <c r="AJ357"/>
  <c r="AG357"/>
  <c r="AE357"/>
  <c r="AI357" s="1"/>
  <c r="AB357"/>
  <c r="L357"/>
  <c r="AL356"/>
  <c r="AJ356"/>
  <c r="AG356"/>
  <c r="AE356"/>
  <c r="AC356"/>
  <c r="AI356" s="1"/>
  <c r="AB356"/>
  <c r="V356"/>
  <c r="T356"/>
  <c r="X356" s="1"/>
  <c r="S356"/>
  <c r="L356"/>
  <c r="AL355"/>
  <c r="AJ355"/>
  <c r="AG355"/>
  <c r="AE355"/>
  <c r="AI355" s="1"/>
  <c r="AB355"/>
  <c r="V355"/>
  <c r="T355"/>
  <c r="X355" s="1"/>
  <c r="N355"/>
  <c r="L355"/>
  <c r="AL353"/>
  <c r="AJ353"/>
  <c r="N353"/>
  <c r="AL352"/>
  <c r="AJ352"/>
  <c r="AG352"/>
  <c r="AE352"/>
  <c r="AC352"/>
  <c r="AI352" s="1"/>
  <c r="AB352"/>
  <c r="N352"/>
  <c r="AL351"/>
  <c r="AJ351"/>
  <c r="AG351"/>
  <c r="AE351"/>
  <c r="AI351" s="1"/>
  <c r="AB351"/>
  <c r="AL350"/>
  <c r="AJ350"/>
  <c r="AG350"/>
  <c r="AE350"/>
  <c r="AI350" s="1"/>
  <c r="AB350"/>
  <c r="L350"/>
  <c r="AL349"/>
  <c r="AJ349"/>
  <c r="AG349"/>
  <c r="AE349"/>
  <c r="AC349"/>
  <c r="AI349" s="1"/>
  <c r="AB349"/>
  <c r="V349"/>
  <c r="T349"/>
  <c r="X349" s="1"/>
  <c r="S349"/>
  <c r="L349"/>
  <c r="AL348"/>
  <c r="AJ348"/>
  <c r="AG348"/>
  <c r="AE348"/>
  <c r="AC348"/>
  <c r="AI348" s="1"/>
  <c r="AB348"/>
  <c r="V348"/>
  <c r="T348"/>
  <c r="X348" s="1"/>
  <c r="N348"/>
  <c r="L348"/>
  <c r="AL347"/>
  <c r="AL346"/>
  <c r="AJ346"/>
  <c r="N346"/>
  <c r="AL345"/>
  <c r="AJ345"/>
  <c r="AG345"/>
  <c r="AE345"/>
  <c r="AC345"/>
  <c r="AI345" s="1"/>
  <c r="AB345"/>
  <c r="N345"/>
  <c r="AL344"/>
  <c r="AJ344"/>
  <c r="AG344"/>
  <c r="AE344"/>
  <c r="AI344" s="1"/>
  <c r="AB344"/>
  <c r="AL343"/>
  <c r="AJ343"/>
  <c r="AG343"/>
  <c r="AE343"/>
  <c r="AI343" s="1"/>
  <c r="AB343"/>
  <c r="L343"/>
  <c r="AL342"/>
  <c r="AJ342"/>
  <c r="AG342"/>
  <c r="AE342"/>
  <c r="AI342" s="1"/>
  <c r="AB342"/>
  <c r="V342"/>
  <c r="T342"/>
  <c r="X342" s="1"/>
  <c r="S342"/>
  <c r="L342"/>
  <c r="AL341"/>
  <c r="AL362" s="1"/>
  <c r="AJ341"/>
  <c r="AJ362" s="1"/>
  <c r="AG341"/>
  <c r="AE341"/>
  <c r="AI341" s="1"/>
  <c r="AB341"/>
  <c r="V341"/>
  <c r="T341"/>
  <c r="X341" s="1"/>
  <c r="N341"/>
  <c r="N362" s="1"/>
  <c r="L341"/>
  <c r="L362" s="1"/>
  <c r="AL339"/>
  <c r="AJ339"/>
  <c r="AL338"/>
  <c r="AJ338"/>
  <c r="AG338"/>
  <c r="AE338"/>
  <c r="AC338"/>
  <c r="AI338" s="1"/>
  <c r="AB338"/>
  <c r="N338"/>
  <c r="AL337"/>
  <c r="AJ337"/>
  <c r="AG337"/>
  <c r="AE337"/>
  <c r="AI337" s="1"/>
  <c r="AB337"/>
  <c r="AL336"/>
  <c r="AJ336"/>
  <c r="AG336"/>
  <c r="AE336"/>
  <c r="AI336" s="1"/>
  <c r="AB336"/>
  <c r="L336"/>
  <c r="AL335"/>
  <c r="AJ335"/>
  <c r="AG335"/>
  <c r="AE335"/>
  <c r="AC335"/>
  <c r="AI335" s="1"/>
  <c r="AB335"/>
  <c r="V335"/>
  <c r="T335"/>
  <c r="X335" s="1"/>
  <c r="S335"/>
  <c r="L335"/>
  <c r="AL334"/>
  <c r="AJ334"/>
  <c r="AG334"/>
  <c r="AE334"/>
  <c r="AI334" s="1"/>
  <c r="AB334"/>
  <c r="V334"/>
  <c r="T334"/>
  <c r="X334" s="1"/>
  <c r="N334"/>
  <c r="L334"/>
  <c r="AL332"/>
  <c r="AJ332"/>
  <c r="N332"/>
  <c r="AL331"/>
  <c r="AJ331"/>
  <c r="AG331"/>
  <c r="AE331"/>
  <c r="AC331"/>
  <c r="AL330"/>
  <c r="AJ330"/>
  <c r="AG330"/>
  <c r="AE330"/>
  <c r="AI330" s="1"/>
  <c r="AB330"/>
  <c r="AL329"/>
  <c r="AJ329"/>
  <c r="AG329"/>
  <c r="AE329"/>
  <c r="AI329" s="1"/>
  <c r="AB329"/>
  <c r="L329"/>
  <c r="AL328"/>
  <c r="AJ328"/>
  <c r="AG328"/>
  <c r="AE328"/>
  <c r="AC328"/>
  <c r="AI328" s="1"/>
  <c r="AB328"/>
  <c r="V328"/>
  <c r="T328"/>
  <c r="X328" s="1"/>
  <c r="S328"/>
  <c r="L328"/>
  <c r="H328"/>
  <c r="AB331" s="1"/>
  <c r="AL327"/>
  <c r="AJ327"/>
  <c r="AG327"/>
  <c r="AE327"/>
  <c r="AC327"/>
  <c r="AI327" s="1"/>
  <c r="AB327"/>
  <c r="V327"/>
  <c r="T327"/>
  <c r="X327" s="1"/>
  <c r="N327"/>
  <c r="L327"/>
  <c r="AL325"/>
  <c r="AJ325"/>
  <c r="N325"/>
  <c r="AL324"/>
  <c r="AJ324"/>
  <c r="AG324"/>
  <c r="AE324"/>
  <c r="AC324"/>
  <c r="AI324" s="1"/>
  <c r="AB324"/>
  <c r="N324"/>
  <c r="AL323"/>
  <c r="AJ323"/>
  <c r="AG323"/>
  <c r="AE323"/>
  <c r="AI323" s="1"/>
  <c r="AB323"/>
  <c r="AL322"/>
  <c r="AJ322"/>
  <c r="AG322"/>
  <c r="AE322"/>
  <c r="AI322" s="1"/>
  <c r="AB322"/>
  <c r="L322"/>
  <c r="AL321"/>
  <c r="AJ321"/>
  <c r="AG321"/>
  <c r="AE321"/>
  <c r="AI321" s="1"/>
  <c r="AB321"/>
  <c r="V321"/>
  <c r="T321"/>
  <c r="X321" s="1"/>
  <c r="S321"/>
  <c r="L321"/>
  <c r="AL320"/>
  <c r="AL340" s="1"/>
  <c r="AJ320"/>
  <c r="AJ340" s="1"/>
  <c r="AG320"/>
  <c r="AE320"/>
  <c r="AI320" s="1"/>
  <c r="AB320"/>
  <c r="V320"/>
  <c r="T320"/>
  <c r="X320" s="1"/>
  <c r="N320"/>
  <c r="L320"/>
  <c r="L340" s="1"/>
  <c r="AL317"/>
  <c r="AJ317"/>
  <c r="AL316"/>
  <c r="AJ316"/>
  <c r="AG316"/>
  <c r="AE316"/>
  <c r="AC316"/>
  <c r="AI316" s="1"/>
  <c r="AB316"/>
  <c r="N316"/>
  <c r="AL315"/>
  <c r="AJ315"/>
  <c r="AG315"/>
  <c r="AE315"/>
  <c r="AI315" s="1"/>
  <c r="AB315"/>
  <c r="AL314"/>
  <c r="AJ314"/>
  <c r="AG314"/>
  <c r="AE314"/>
  <c r="AI314" s="1"/>
  <c r="AB314"/>
  <c r="L314"/>
  <c r="AL313"/>
  <c r="AJ313"/>
  <c r="AG313"/>
  <c r="AE313"/>
  <c r="AC313"/>
  <c r="AI313" s="1"/>
  <c r="AB313"/>
  <c r="V313"/>
  <c r="T313"/>
  <c r="X313" s="1"/>
  <c r="S313"/>
  <c r="L313"/>
  <c r="AL312"/>
  <c r="AJ312"/>
  <c r="AG312"/>
  <c r="AE312"/>
  <c r="AI312" s="1"/>
  <c r="AB312"/>
  <c r="V312"/>
  <c r="T312"/>
  <c r="X312" s="1"/>
  <c r="N312"/>
  <c r="L312"/>
  <c r="AL310"/>
  <c r="AJ310"/>
  <c r="N310"/>
  <c r="AL309"/>
  <c r="AJ309"/>
  <c r="AG309"/>
  <c r="AE309"/>
  <c r="AC309"/>
  <c r="AL308"/>
  <c r="AJ308"/>
  <c r="AG308"/>
  <c r="AE308"/>
  <c r="AI308" s="1"/>
  <c r="AB308"/>
  <c r="AL307"/>
  <c r="AJ307"/>
  <c r="AG307"/>
  <c r="AE307"/>
  <c r="AI307" s="1"/>
  <c r="AB307"/>
  <c r="L307"/>
  <c r="AL306"/>
  <c r="AJ306"/>
  <c r="AG306"/>
  <c r="AE306"/>
  <c r="AC306"/>
  <c r="AI306" s="1"/>
  <c r="AB306"/>
  <c r="V306"/>
  <c r="T306"/>
  <c r="X306" s="1"/>
  <c r="S306"/>
  <c r="L306"/>
  <c r="H306"/>
  <c r="AB309" s="1"/>
  <c r="AL305"/>
  <c r="AJ305"/>
  <c r="AG305"/>
  <c r="AE305"/>
  <c r="AC305"/>
  <c r="AI305" s="1"/>
  <c r="AB305"/>
  <c r="V305"/>
  <c r="T305"/>
  <c r="X305" s="1"/>
  <c r="N305"/>
  <c r="L305"/>
  <c r="AL303"/>
  <c r="AJ303"/>
  <c r="N303"/>
  <c r="AL302"/>
  <c r="AJ302"/>
  <c r="AG302"/>
  <c r="AE302"/>
  <c r="AI302" s="1"/>
  <c r="AC302"/>
  <c r="AB302"/>
  <c r="N302"/>
  <c r="AL301"/>
  <c r="AJ301"/>
  <c r="AG301"/>
  <c r="AE301"/>
  <c r="AI301" s="1"/>
  <c r="AB301"/>
  <c r="AL300"/>
  <c r="AJ300"/>
  <c r="AG300"/>
  <c r="AE300"/>
  <c r="AI300" s="1"/>
  <c r="AB300"/>
  <c r="L300"/>
  <c r="AL299"/>
  <c r="AJ299"/>
  <c r="AG299"/>
  <c r="AE299"/>
  <c r="AI299" s="1"/>
  <c r="AB299"/>
  <c r="V299"/>
  <c r="T299"/>
  <c r="X299" s="1"/>
  <c r="S299"/>
  <c r="L299"/>
  <c r="AL298"/>
  <c r="AL318" s="1"/>
  <c r="AJ298"/>
  <c r="AJ318" s="1"/>
  <c r="AG298"/>
  <c r="AE298"/>
  <c r="AI298" s="1"/>
  <c r="AB298"/>
  <c r="V298"/>
  <c r="T298"/>
  <c r="X298" s="1"/>
  <c r="N298"/>
  <c r="L298"/>
  <c r="L318" s="1"/>
  <c r="AL295"/>
  <c r="AJ295"/>
  <c r="AL294"/>
  <c r="AJ294"/>
  <c r="AG294"/>
  <c r="AE294"/>
  <c r="AC294"/>
  <c r="AI294" s="1"/>
  <c r="AB294"/>
  <c r="N294"/>
  <c r="AL293"/>
  <c r="AJ293"/>
  <c r="AG293"/>
  <c r="AE293"/>
  <c r="AI293" s="1"/>
  <c r="AB293"/>
  <c r="AL292"/>
  <c r="AJ292"/>
  <c r="AG292"/>
  <c r="AE292"/>
  <c r="AI292" s="1"/>
  <c r="AB292"/>
  <c r="L292"/>
  <c r="AL291"/>
  <c r="AJ291"/>
  <c r="AG291"/>
  <c r="AE291"/>
  <c r="AC291"/>
  <c r="AI291" s="1"/>
  <c r="AB291"/>
  <c r="V291"/>
  <c r="T291"/>
  <c r="X291" s="1"/>
  <c r="S291"/>
  <c r="L291"/>
  <c r="AL290"/>
  <c r="AJ290"/>
  <c r="AG290"/>
  <c r="AE290"/>
  <c r="AI290" s="1"/>
  <c r="AB290"/>
  <c r="V290"/>
  <c r="T290"/>
  <c r="X290" s="1"/>
  <c r="N290"/>
  <c r="L290"/>
  <c r="AL288"/>
  <c r="AJ288"/>
  <c r="N288"/>
  <c r="AL287"/>
  <c r="AJ287"/>
  <c r="AG287"/>
  <c r="AE287"/>
  <c r="AC287"/>
  <c r="AL286"/>
  <c r="AJ286"/>
  <c r="AG286"/>
  <c r="AE286"/>
  <c r="AI286" s="1"/>
  <c r="AB286"/>
  <c r="AL285"/>
  <c r="AJ285"/>
  <c r="AG285"/>
  <c r="AE285"/>
  <c r="AI285" s="1"/>
  <c r="AB285"/>
  <c r="L285"/>
  <c r="AL284"/>
  <c r="AJ284"/>
  <c r="AG284"/>
  <c r="AE284"/>
  <c r="AC284"/>
  <c r="AI284" s="1"/>
  <c r="AB284"/>
  <c r="V284"/>
  <c r="T284"/>
  <c r="X284" s="1"/>
  <c r="S284"/>
  <c r="L284"/>
  <c r="H284"/>
  <c r="AB287" s="1"/>
  <c r="AL283"/>
  <c r="AJ283"/>
  <c r="AG283"/>
  <c r="AE283"/>
  <c r="AC283"/>
  <c r="AI283" s="1"/>
  <c r="AB283"/>
  <c r="V283"/>
  <c r="T283"/>
  <c r="X283" s="1"/>
  <c r="N283"/>
  <c r="L283"/>
  <c r="AL281"/>
  <c r="AJ281"/>
  <c r="N281"/>
  <c r="AL280"/>
  <c r="AJ280"/>
  <c r="AG280"/>
  <c r="AE280"/>
  <c r="AI280" s="1"/>
  <c r="AC280"/>
  <c r="AB280"/>
  <c r="N280"/>
  <c r="AL279"/>
  <c r="AJ279"/>
  <c r="AG279"/>
  <c r="AE279"/>
  <c r="AI279" s="1"/>
  <c r="AB279"/>
  <c r="AL278"/>
  <c r="AJ278"/>
  <c r="AG278"/>
  <c r="AE278"/>
  <c r="AI278" s="1"/>
  <c r="AB278"/>
  <c r="L278"/>
  <c r="AL277"/>
  <c r="AJ277"/>
  <c r="AG277"/>
  <c r="AE277"/>
  <c r="AI277" s="1"/>
  <c r="AB277"/>
  <c r="V277"/>
  <c r="T277"/>
  <c r="X277" s="1"/>
  <c r="S277"/>
  <c r="L277"/>
  <c r="AL276"/>
  <c r="AL296" s="1"/>
  <c r="AJ276"/>
  <c r="AJ296" s="1"/>
  <c r="AG276"/>
  <c r="AE276"/>
  <c r="AI276" s="1"/>
  <c r="AB276"/>
  <c r="V276"/>
  <c r="T276"/>
  <c r="X276" s="1"/>
  <c r="N276"/>
  <c r="L276"/>
  <c r="L296" s="1"/>
  <c r="AL273"/>
  <c r="AJ273"/>
  <c r="AL272"/>
  <c r="AJ272"/>
  <c r="AG272"/>
  <c r="AE272"/>
  <c r="AC272"/>
  <c r="AI272" s="1"/>
  <c r="AB272"/>
  <c r="N272"/>
  <c r="AL271"/>
  <c r="AJ271"/>
  <c r="AG271"/>
  <c r="AE271"/>
  <c r="AI271" s="1"/>
  <c r="AB271"/>
  <c r="AL270"/>
  <c r="AJ270"/>
  <c r="AG270"/>
  <c r="AE270"/>
  <c r="AI270" s="1"/>
  <c r="AB270"/>
  <c r="L270"/>
  <c r="AL269"/>
  <c r="AJ269"/>
  <c r="AG269"/>
  <c r="AE269"/>
  <c r="AC269"/>
  <c r="AI269" s="1"/>
  <c r="AB269"/>
  <c r="V269"/>
  <c r="T269"/>
  <c r="X269" s="1"/>
  <c r="S269"/>
  <c r="L269"/>
  <c r="AL268"/>
  <c r="AJ268"/>
  <c r="AG268"/>
  <c r="AE268"/>
  <c r="AI268" s="1"/>
  <c r="AB268"/>
  <c r="V268"/>
  <c r="T268"/>
  <c r="X268" s="1"/>
  <c r="N268"/>
  <c r="L268"/>
  <c r="AL266"/>
  <c r="AJ266"/>
  <c r="N266"/>
  <c r="AL265"/>
  <c r="AJ265"/>
  <c r="AG265"/>
  <c r="AE265"/>
  <c r="AC265"/>
  <c r="AL264"/>
  <c r="AJ264"/>
  <c r="AG264"/>
  <c r="AE264"/>
  <c r="AI264" s="1"/>
  <c r="AB264"/>
  <c r="AL263"/>
  <c r="AJ263"/>
  <c r="AG263"/>
  <c r="AE263"/>
  <c r="AI263" s="1"/>
  <c r="AB263"/>
  <c r="L263"/>
  <c r="AL262"/>
  <c r="AJ262"/>
  <c r="AG262"/>
  <c r="AE262"/>
  <c r="AC262"/>
  <c r="AI262" s="1"/>
  <c r="AB262"/>
  <c r="V262"/>
  <c r="T262"/>
  <c r="X262" s="1"/>
  <c r="S262"/>
  <c r="L262"/>
  <c r="H262"/>
  <c r="AB265" s="1"/>
  <c r="AL261"/>
  <c r="AJ261"/>
  <c r="AG261"/>
  <c r="AE261"/>
  <c r="AC261"/>
  <c r="AI261" s="1"/>
  <c r="AB261"/>
  <c r="V261"/>
  <c r="T261"/>
  <c r="X261" s="1"/>
  <c r="N261"/>
  <c r="L261"/>
  <c r="AL259"/>
  <c r="AJ259"/>
  <c r="N259"/>
  <c r="AL258"/>
  <c r="AJ258"/>
  <c r="AG258"/>
  <c r="AE258"/>
  <c r="AC258"/>
  <c r="AI258" s="1"/>
  <c r="AB258"/>
  <c r="N258"/>
  <c r="AL257"/>
  <c r="AJ257"/>
  <c r="AG257"/>
  <c r="AE257"/>
  <c r="AI257" s="1"/>
  <c r="AB257"/>
  <c r="AL256"/>
  <c r="AJ256"/>
  <c r="AG256"/>
  <c r="AE256"/>
  <c r="AI256" s="1"/>
  <c r="AB256"/>
  <c r="L256"/>
  <c r="AL255"/>
  <c r="AJ255"/>
  <c r="AG255"/>
  <c r="AE255"/>
  <c r="AI255" s="1"/>
  <c r="AB255"/>
  <c r="V255"/>
  <c r="T255"/>
  <c r="X255" s="1"/>
  <c r="S255"/>
  <c r="L255"/>
  <c r="AL254"/>
  <c r="AL274" s="1"/>
  <c r="AJ254"/>
  <c r="AJ274" s="1"/>
  <c r="AG254"/>
  <c r="AE254"/>
  <c r="AI254" s="1"/>
  <c r="AB254"/>
  <c r="V254"/>
  <c r="T254"/>
  <c r="X254" s="1"/>
  <c r="N254"/>
  <c r="L254"/>
  <c r="L274" s="1"/>
  <c r="AL250"/>
  <c r="AJ250"/>
  <c r="N250"/>
  <c r="AL249"/>
  <c r="AJ249"/>
  <c r="AG249"/>
  <c r="AE249"/>
  <c r="AC249"/>
  <c r="AI249" s="1"/>
  <c r="AB249"/>
  <c r="N249"/>
  <c r="AL248"/>
  <c r="AJ248"/>
  <c r="AG248"/>
  <c r="AE248"/>
  <c r="AI248" s="1"/>
  <c r="AB248"/>
  <c r="AL247"/>
  <c r="AJ247"/>
  <c r="AG247"/>
  <c r="AE247"/>
  <c r="AI247" s="1"/>
  <c r="AB247"/>
  <c r="L247"/>
  <c r="AL246"/>
  <c r="AJ246"/>
  <c r="AG246"/>
  <c r="AE246"/>
  <c r="AC246"/>
  <c r="AI246" s="1"/>
  <c r="AB246"/>
  <c r="V246"/>
  <c r="T246"/>
  <c r="X246" s="1"/>
  <c r="S246"/>
  <c r="L246"/>
  <c r="AL245"/>
  <c r="AJ245"/>
  <c r="AG245"/>
  <c r="AE245"/>
  <c r="AI245" s="1"/>
  <c r="AB245"/>
  <c r="V245"/>
  <c r="T245"/>
  <c r="X245" s="1"/>
  <c r="N245"/>
  <c r="L245"/>
  <c r="AL243"/>
  <c r="AJ243"/>
  <c r="N243"/>
  <c r="AL242"/>
  <c r="AJ242"/>
  <c r="AG242"/>
  <c r="AE242"/>
  <c r="AC242"/>
  <c r="AI242" s="1"/>
  <c r="AB242"/>
  <c r="N242"/>
  <c r="AL241"/>
  <c r="AJ241"/>
  <c r="AG241"/>
  <c r="AE241"/>
  <c r="AI241" s="1"/>
  <c r="AB241"/>
  <c r="AL240"/>
  <c r="AJ240"/>
  <c r="AG240"/>
  <c r="AE240"/>
  <c r="AI240" s="1"/>
  <c r="AB240"/>
  <c r="L240"/>
  <c r="AL239"/>
  <c r="AJ239"/>
  <c r="AG239"/>
  <c r="AE239"/>
  <c r="AC239"/>
  <c r="AI239" s="1"/>
  <c r="AB239"/>
  <c r="V239"/>
  <c r="T239"/>
  <c r="X239" s="1"/>
  <c r="S239"/>
  <c r="L239"/>
  <c r="AL238"/>
  <c r="AJ238"/>
  <c r="AG238"/>
  <c r="AE238"/>
  <c r="AI238" s="1"/>
  <c r="AC238"/>
  <c r="AB238"/>
  <c r="V238"/>
  <c r="T238"/>
  <c r="X238" s="1"/>
  <c r="N238"/>
  <c r="L238"/>
  <c r="AL237"/>
  <c r="AL236"/>
  <c r="AJ236"/>
  <c r="N236"/>
  <c r="AL235"/>
  <c r="AJ235"/>
  <c r="AG235"/>
  <c r="AE235"/>
  <c r="AC235"/>
  <c r="AI235" s="1"/>
  <c r="AB235"/>
  <c r="N235"/>
  <c r="AL234"/>
  <c r="AJ234"/>
  <c r="AG234"/>
  <c r="AE234"/>
  <c r="AI234" s="1"/>
  <c r="AB234"/>
  <c r="AL233"/>
  <c r="AJ233"/>
  <c r="AG233"/>
  <c r="AE233"/>
  <c r="AI233" s="1"/>
  <c r="AB233"/>
  <c r="L233"/>
  <c r="AL232"/>
  <c r="AJ232"/>
  <c r="AG232"/>
  <c r="AE232"/>
  <c r="AI232" s="1"/>
  <c r="AB232"/>
  <c r="V232"/>
  <c r="T232"/>
  <c r="X232" s="1"/>
  <c r="S232"/>
  <c r="L232"/>
  <c r="AL231"/>
  <c r="AL252" s="1"/>
  <c r="AJ231"/>
  <c r="AJ252" s="1"/>
  <c r="AG231"/>
  <c r="AE231"/>
  <c r="AI231" s="1"/>
  <c r="AB231"/>
  <c r="V231"/>
  <c r="T231"/>
  <c r="X231" s="1"/>
  <c r="N231"/>
  <c r="N252" s="1"/>
  <c r="L231"/>
  <c r="L252" s="1"/>
  <c r="AL229"/>
  <c r="AJ229"/>
  <c r="AL228"/>
  <c r="AJ228"/>
  <c r="AG228"/>
  <c r="AE228"/>
  <c r="AC228"/>
  <c r="AI228" s="1"/>
  <c r="AB228"/>
  <c r="N228"/>
  <c r="AL227"/>
  <c r="AJ227"/>
  <c r="AG227"/>
  <c r="AE227"/>
  <c r="AI227" s="1"/>
  <c r="AB227"/>
  <c r="AL226"/>
  <c r="AJ226"/>
  <c r="AG226"/>
  <c r="AE226"/>
  <c r="AI226" s="1"/>
  <c r="AB226"/>
  <c r="L226"/>
  <c r="AL225"/>
  <c r="AJ225"/>
  <c r="AG225"/>
  <c r="AE225"/>
  <c r="AC225"/>
  <c r="AI225" s="1"/>
  <c r="AB225"/>
  <c r="V225"/>
  <c r="T225"/>
  <c r="X225" s="1"/>
  <c r="S225"/>
  <c r="L225"/>
  <c r="AL224"/>
  <c r="AJ224"/>
  <c r="AG224"/>
  <c r="AE224"/>
  <c r="AI224" s="1"/>
  <c r="AB224"/>
  <c r="V224"/>
  <c r="T224"/>
  <c r="X224" s="1"/>
  <c r="N224"/>
  <c r="L224"/>
  <c r="AL222"/>
  <c r="AJ222"/>
  <c r="N222"/>
  <c r="AL221"/>
  <c r="AJ221"/>
  <c r="AG221"/>
  <c r="AE221"/>
  <c r="AC221"/>
  <c r="AL220"/>
  <c r="AJ220"/>
  <c r="AG220"/>
  <c r="AE220"/>
  <c r="AI220" s="1"/>
  <c r="AB220"/>
  <c r="AL219"/>
  <c r="AJ219"/>
  <c r="AG219"/>
  <c r="AE219"/>
  <c r="AI219" s="1"/>
  <c r="AB219"/>
  <c r="L219"/>
  <c r="AL218"/>
  <c r="AJ218"/>
  <c r="AG218"/>
  <c r="AE218"/>
  <c r="AC218"/>
  <c r="AI218" s="1"/>
  <c r="AB218"/>
  <c r="V218"/>
  <c r="T218"/>
  <c r="X218" s="1"/>
  <c r="S218"/>
  <c r="L218"/>
  <c r="H218"/>
  <c r="N221" s="1"/>
  <c r="AL217"/>
  <c r="AJ217"/>
  <c r="AG217"/>
  <c r="AE217"/>
  <c r="AC217"/>
  <c r="AI217" s="1"/>
  <c r="AB217"/>
  <c r="V217"/>
  <c r="T217"/>
  <c r="X217" s="1"/>
  <c r="N217"/>
  <c r="L217"/>
  <c r="AL215"/>
  <c r="AJ215"/>
  <c r="N215"/>
  <c r="AL214"/>
  <c r="AJ214"/>
  <c r="AG214"/>
  <c r="AE214"/>
  <c r="AI214" s="1"/>
  <c r="AC214"/>
  <c r="AB214"/>
  <c r="N214"/>
  <c r="AL213"/>
  <c r="AJ213"/>
  <c r="AG213"/>
  <c r="AE213"/>
  <c r="AI213" s="1"/>
  <c r="AB213"/>
  <c r="AL212"/>
  <c r="AJ212"/>
  <c r="AG212"/>
  <c r="AE212"/>
  <c r="AI212" s="1"/>
  <c r="AB212"/>
  <c r="L212"/>
  <c r="AL211"/>
  <c r="AJ211"/>
  <c r="AG211"/>
  <c r="AE211"/>
  <c r="AI211" s="1"/>
  <c r="AB211"/>
  <c r="V211"/>
  <c r="T211"/>
  <c r="X211" s="1"/>
  <c r="S211"/>
  <c r="L211"/>
  <c r="AL210"/>
  <c r="AL230" s="1"/>
  <c r="AJ210"/>
  <c r="AJ230" s="1"/>
  <c r="AG210"/>
  <c r="AE210"/>
  <c r="AI210" s="1"/>
  <c r="AB210"/>
  <c r="V210"/>
  <c r="T210"/>
  <c r="X210" s="1"/>
  <c r="N210"/>
  <c r="N230" s="1"/>
  <c r="L210"/>
  <c r="L230" s="1"/>
  <c r="AL207"/>
  <c r="AJ207"/>
  <c r="AL206"/>
  <c r="AJ206"/>
  <c r="AG206"/>
  <c r="AE206"/>
  <c r="AC206"/>
  <c r="AI206" s="1"/>
  <c r="AB206"/>
  <c r="N206"/>
  <c r="AL205"/>
  <c r="AJ205"/>
  <c r="AG205"/>
  <c r="AE205"/>
  <c r="AI205" s="1"/>
  <c r="AB205"/>
  <c r="AL204"/>
  <c r="AJ204"/>
  <c r="AG204"/>
  <c r="AE204"/>
  <c r="AI204" s="1"/>
  <c r="AB204"/>
  <c r="L204"/>
  <c r="AL203"/>
  <c r="AJ203"/>
  <c r="AG203"/>
  <c r="AE203"/>
  <c r="AC203"/>
  <c r="AI203" s="1"/>
  <c r="AB203"/>
  <c r="V203"/>
  <c r="T203"/>
  <c r="X203" s="1"/>
  <c r="S203"/>
  <c r="L203"/>
  <c r="AL202"/>
  <c r="AJ202"/>
  <c r="AG202"/>
  <c r="AE202"/>
  <c r="AI202" s="1"/>
  <c r="AB202"/>
  <c r="V202"/>
  <c r="T202"/>
  <c r="X202" s="1"/>
  <c r="N202"/>
  <c r="L202"/>
  <c r="AL200"/>
  <c r="AJ200"/>
  <c r="N200"/>
  <c r="AL199"/>
  <c r="AJ199"/>
  <c r="AG199"/>
  <c r="AE199"/>
  <c r="AC199"/>
  <c r="AL198"/>
  <c r="AJ198"/>
  <c r="AG198"/>
  <c r="AE198"/>
  <c r="AI198" s="1"/>
  <c r="AB198"/>
  <c r="AL197"/>
  <c r="AJ197"/>
  <c r="AG197"/>
  <c r="AE197"/>
  <c r="AI197" s="1"/>
  <c r="AB197"/>
  <c r="L197"/>
  <c r="AL196"/>
  <c r="AJ196"/>
  <c r="AG196"/>
  <c r="AE196"/>
  <c r="AC196"/>
  <c r="AI196" s="1"/>
  <c r="AB196"/>
  <c r="V196"/>
  <c r="T196"/>
  <c r="X196" s="1"/>
  <c r="S196"/>
  <c r="L196"/>
  <c r="H196"/>
  <c r="N199" s="1"/>
  <c r="AL195"/>
  <c r="AJ195"/>
  <c r="AG195"/>
  <c r="AE195"/>
  <c r="AC195"/>
  <c r="AI195" s="1"/>
  <c r="AB195"/>
  <c r="V195"/>
  <c r="T195"/>
  <c r="X195" s="1"/>
  <c r="N195"/>
  <c r="L195"/>
  <c r="AL193"/>
  <c r="AJ193"/>
  <c r="N193"/>
  <c r="AL192"/>
  <c r="AJ192"/>
  <c r="AG192"/>
  <c r="AE192"/>
  <c r="AI192" s="1"/>
  <c r="AC192"/>
  <c r="AB192"/>
  <c r="N192"/>
  <c r="AL191"/>
  <c r="AJ191"/>
  <c r="AG191"/>
  <c r="AE191"/>
  <c r="AI191" s="1"/>
  <c r="AB191"/>
  <c r="AL190"/>
  <c r="AJ190"/>
  <c r="AG190"/>
  <c r="AE190"/>
  <c r="AI190" s="1"/>
  <c r="AB190"/>
  <c r="L190"/>
  <c r="AL189"/>
  <c r="AJ189"/>
  <c r="AG189"/>
  <c r="AE189"/>
  <c r="AI189" s="1"/>
  <c r="AB189"/>
  <c r="V189"/>
  <c r="T189"/>
  <c r="X189" s="1"/>
  <c r="S189"/>
  <c r="L189"/>
  <c r="AL188"/>
  <c r="AL208" s="1"/>
  <c r="AJ188"/>
  <c r="AJ208" s="1"/>
  <c r="AG188"/>
  <c r="AE188"/>
  <c r="AI188" s="1"/>
  <c r="AB188"/>
  <c r="V188"/>
  <c r="T188"/>
  <c r="X188" s="1"/>
  <c r="N188"/>
  <c r="N208" s="1"/>
  <c r="L188"/>
  <c r="L208" s="1"/>
  <c r="AL185"/>
  <c r="AJ185"/>
  <c r="AL184"/>
  <c r="AJ184"/>
  <c r="AG184"/>
  <c r="AE184"/>
  <c r="AC184"/>
  <c r="AI184" s="1"/>
  <c r="AB184"/>
  <c r="N184"/>
  <c r="AL183"/>
  <c r="AJ183"/>
  <c r="AG183"/>
  <c r="AE183"/>
  <c r="AI183" s="1"/>
  <c r="AB183"/>
  <c r="AL182"/>
  <c r="AJ182"/>
  <c r="AG182"/>
  <c r="AE182"/>
  <c r="AI182" s="1"/>
  <c r="AB182"/>
  <c r="L182"/>
  <c r="AL181"/>
  <c r="AJ181"/>
  <c r="AG181"/>
  <c r="AE181"/>
  <c r="AC181"/>
  <c r="AI181" s="1"/>
  <c r="AB181"/>
  <c r="V181"/>
  <c r="T181"/>
  <c r="X181" s="1"/>
  <c r="S181"/>
  <c r="L181"/>
  <c r="AL180"/>
  <c r="AJ180"/>
  <c r="AG180"/>
  <c r="AE180"/>
  <c r="AI180" s="1"/>
  <c r="AB180"/>
  <c r="V180"/>
  <c r="T180"/>
  <c r="X180" s="1"/>
  <c r="N180"/>
  <c r="L180"/>
  <c r="AL178"/>
  <c r="AJ178"/>
  <c r="N178"/>
  <c r="AL177"/>
  <c r="AJ177"/>
  <c r="AG177"/>
  <c r="AE177"/>
  <c r="AC177"/>
  <c r="AL176"/>
  <c r="AJ176"/>
  <c r="AG176"/>
  <c r="AE176"/>
  <c r="AI176" s="1"/>
  <c r="AB176"/>
  <c r="AL175"/>
  <c r="AJ175"/>
  <c r="AG175"/>
  <c r="AE175"/>
  <c r="AI175" s="1"/>
  <c r="AB175"/>
  <c r="L175"/>
  <c r="AL174"/>
  <c r="AJ174"/>
  <c r="AG174"/>
  <c r="AE174"/>
  <c r="AC174"/>
  <c r="AI174" s="1"/>
  <c r="AB174"/>
  <c r="V174"/>
  <c r="T174"/>
  <c r="X174" s="1"/>
  <c r="S174"/>
  <c r="L174"/>
  <c r="H174"/>
  <c r="N177" s="1"/>
  <c r="AL173"/>
  <c r="AJ173"/>
  <c r="AG173"/>
  <c r="AE173"/>
  <c r="AC173"/>
  <c r="AI173" s="1"/>
  <c r="AB173"/>
  <c r="V173"/>
  <c r="T173"/>
  <c r="X173" s="1"/>
  <c r="N173"/>
  <c r="L173"/>
  <c r="AL171"/>
  <c r="AJ171"/>
  <c r="N171"/>
  <c r="AL170"/>
  <c r="AJ170"/>
  <c r="AG170"/>
  <c r="AE170"/>
  <c r="AI170" s="1"/>
  <c r="AC170"/>
  <c r="AB170"/>
  <c r="N170"/>
  <c r="AL169"/>
  <c r="AJ169"/>
  <c r="AG169"/>
  <c r="AE169"/>
  <c r="AI169" s="1"/>
  <c r="AB169"/>
  <c r="AL168"/>
  <c r="AJ168"/>
  <c r="AG168"/>
  <c r="AE168"/>
  <c r="AI168" s="1"/>
  <c r="AB168"/>
  <c r="L168"/>
  <c r="AL167"/>
  <c r="AJ167"/>
  <c r="AG167"/>
  <c r="AE167"/>
  <c r="AI167" s="1"/>
  <c r="AB167"/>
  <c r="V167"/>
  <c r="T167"/>
  <c r="X167" s="1"/>
  <c r="S167"/>
  <c r="L167"/>
  <c r="AL166"/>
  <c r="AL186" s="1"/>
  <c r="AJ166"/>
  <c r="AJ186" s="1"/>
  <c r="AG166"/>
  <c r="AE166"/>
  <c r="AI166" s="1"/>
  <c r="AB166"/>
  <c r="V166"/>
  <c r="T166"/>
  <c r="X166" s="1"/>
  <c r="N166"/>
  <c r="N186" s="1"/>
  <c r="L166"/>
  <c r="L186" s="1"/>
  <c r="AL163"/>
  <c r="AJ163"/>
  <c r="AL162"/>
  <c r="AJ162"/>
  <c r="AG162"/>
  <c r="AE162"/>
  <c r="AC162"/>
  <c r="AI162" s="1"/>
  <c r="AB162"/>
  <c r="N162"/>
  <c r="AL161"/>
  <c r="AJ161"/>
  <c r="AG161"/>
  <c r="AE161"/>
  <c r="AI161" s="1"/>
  <c r="AB161"/>
  <c r="AL160"/>
  <c r="AJ160"/>
  <c r="AG160"/>
  <c r="AE160"/>
  <c r="AI160" s="1"/>
  <c r="AB160"/>
  <c r="L160"/>
  <c r="AL159"/>
  <c r="AJ159"/>
  <c r="AG159"/>
  <c r="AE159"/>
  <c r="AC159"/>
  <c r="AI159" s="1"/>
  <c r="AB159"/>
  <c r="V159"/>
  <c r="T159"/>
  <c r="X159" s="1"/>
  <c r="S159"/>
  <c r="L159"/>
  <c r="AL158"/>
  <c r="AJ158"/>
  <c r="AG158"/>
  <c r="AE158"/>
  <c r="AI158" s="1"/>
  <c r="AB158"/>
  <c r="V158"/>
  <c r="T158"/>
  <c r="X158" s="1"/>
  <c r="N158"/>
  <c r="L158"/>
  <c r="AL156"/>
  <c r="AJ156"/>
  <c r="N156"/>
  <c r="AL155"/>
  <c r="AJ155"/>
  <c r="AG155"/>
  <c r="AE155"/>
  <c r="AC155"/>
  <c r="AL154"/>
  <c r="AJ154"/>
  <c r="AG154"/>
  <c r="AE154"/>
  <c r="AI154" s="1"/>
  <c r="AB154"/>
  <c r="AL153"/>
  <c r="AJ153"/>
  <c r="AG153"/>
  <c r="AE153"/>
  <c r="AI153" s="1"/>
  <c r="AB153"/>
  <c r="L153"/>
  <c r="AL152"/>
  <c r="AJ152"/>
  <c r="AG152"/>
  <c r="AE152"/>
  <c r="AC152"/>
  <c r="AI152" s="1"/>
  <c r="AB152"/>
  <c r="V152"/>
  <c r="T152"/>
  <c r="X152" s="1"/>
  <c r="S152"/>
  <c r="L152"/>
  <c r="H152"/>
  <c r="N155" s="1"/>
  <c r="AL151"/>
  <c r="AJ151"/>
  <c r="AG151"/>
  <c r="AE151"/>
  <c r="AC151"/>
  <c r="AI151" s="1"/>
  <c r="AB151"/>
  <c r="V151"/>
  <c r="T151"/>
  <c r="X151" s="1"/>
  <c r="N151"/>
  <c r="L151"/>
  <c r="AL149"/>
  <c r="AJ149"/>
  <c r="N149"/>
  <c r="AL148"/>
  <c r="AJ148"/>
  <c r="AG148"/>
  <c r="AE148"/>
  <c r="AI148" s="1"/>
  <c r="AC148"/>
  <c r="AB148"/>
  <c r="N148"/>
  <c r="AL147"/>
  <c r="AJ147"/>
  <c r="AG147"/>
  <c r="AE147"/>
  <c r="AI147" s="1"/>
  <c r="AB147"/>
  <c r="AL146"/>
  <c r="AJ146"/>
  <c r="AG146"/>
  <c r="AE146"/>
  <c r="AI146" s="1"/>
  <c r="AB146"/>
  <c r="L146"/>
  <c r="AL145"/>
  <c r="AJ145"/>
  <c r="AG145"/>
  <c r="AE145"/>
  <c r="AI145" s="1"/>
  <c r="AB145"/>
  <c r="V145"/>
  <c r="T145"/>
  <c r="X145" s="1"/>
  <c r="S145"/>
  <c r="L145"/>
  <c r="AL144"/>
  <c r="AL164" s="1"/>
  <c r="AJ144"/>
  <c r="AJ164" s="1"/>
  <c r="AG144"/>
  <c r="AE144"/>
  <c r="AI144" s="1"/>
  <c r="AB144"/>
  <c r="V144"/>
  <c r="T144"/>
  <c r="X144" s="1"/>
  <c r="N144"/>
  <c r="N164" s="1"/>
  <c r="L144"/>
  <c r="L164" s="1"/>
  <c r="AL140"/>
  <c r="AJ140"/>
  <c r="N140"/>
  <c r="AL139"/>
  <c r="AJ139"/>
  <c r="AG139"/>
  <c r="AE139"/>
  <c r="AC139"/>
  <c r="AB139"/>
  <c r="N139"/>
  <c r="AL138"/>
  <c r="AJ138"/>
  <c r="AG138"/>
  <c r="AE138"/>
  <c r="AI138" s="1"/>
  <c r="AB138"/>
  <c r="AL137"/>
  <c r="AJ137"/>
  <c r="AG137"/>
  <c r="AE137"/>
  <c r="AI137" s="1"/>
  <c r="AB137"/>
  <c r="L137"/>
  <c r="AL136"/>
  <c r="AJ136"/>
  <c r="AG136"/>
  <c r="AE136"/>
  <c r="AI136" s="1"/>
  <c r="AC136"/>
  <c r="AB136"/>
  <c r="V136"/>
  <c r="T136"/>
  <c r="X136" s="1"/>
  <c r="S136"/>
  <c r="L136"/>
  <c r="AL135"/>
  <c r="AJ135"/>
  <c r="AG135"/>
  <c r="AE135"/>
  <c r="AI135" s="1"/>
  <c r="AB135"/>
  <c r="V135"/>
  <c r="T135"/>
  <c r="X135" s="1"/>
  <c r="N135"/>
  <c r="L135"/>
  <c r="AL133"/>
  <c r="AJ133"/>
  <c r="N133"/>
  <c r="AL132"/>
  <c r="AJ132"/>
  <c r="AG132"/>
  <c r="AE132"/>
  <c r="AC132"/>
  <c r="AI132" s="1"/>
  <c r="AB132"/>
  <c r="N132"/>
  <c r="AL131"/>
  <c r="AJ131"/>
  <c r="AG131"/>
  <c r="AE131"/>
  <c r="AI131" s="1"/>
  <c r="AB131"/>
  <c r="AL130"/>
  <c r="AJ130"/>
  <c r="AG130"/>
  <c r="AE130"/>
  <c r="AI130" s="1"/>
  <c r="AB130"/>
  <c r="L130"/>
  <c r="AL129"/>
  <c r="AJ129"/>
  <c r="AG129"/>
  <c r="AE129"/>
  <c r="AC129"/>
  <c r="AI129" s="1"/>
  <c r="AB129"/>
  <c r="V129"/>
  <c r="T129"/>
  <c r="X129" s="1"/>
  <c r="S129"/>
  <c r="L129"/>
  <c r="AL128"/>
  <c r="AJ128"/>
  <c r="AG128"/>
  <c r="AE128"/>
  <c r="AI128" s="1"/>
  <c r="AC128"/>
  <c r="AB128"/>
  <c r="V128"/>
  <c r="T128"/>
  <c r="X128" s="1"/>
  <c r="N128"/>
  <c r="L128"/>
  <c r="AL127"/>
  <c r="AL126"/>
  <c r="AJ126"/>
  <c r="N126"/>
  <c r="AL125"/>
  <c r="AJ125"/>
  <c r="AG125"/>
  <c r="AE125"/>
  <c r="AI125" s="1"/>
  <c r="AC125"/>
  <c r="AB125"/>
  <c r="N125"/>
  <c r="AL124"/>
  <c r="AJ124"/>
  <c r="AG124"/>
  <c r="AE124"/>
  <c r="AI124" s="1"/>
  <c r="AB124"/>
  <c r="AL123"/>
  <c r="AJ123"/>
  <c r="AG123"/>
  <c r="AE123"/>
  <c r="AI123" s="1"/>
  <c r="AB123"/>
  <c r="L123"/>
  <c r="AL122"/>
  <c r="AJ122"/>
  <c r="AG122"/>
  <c r="AE122"/>
  <c r="AI122" s="1"/>
  <c r="AB122"/>
  <c r="V122"/>
  <c r="T122"/>
  <c r="X122" s="1"/>
  <c r="S122"/>
  <c r="L122"/>
  <c r="AL121"/>
  <c r="AJ121"/>
  <c r="AG121"/>
  <c r="AE121"/>
  <c r="AI121" s="1"/>
  <c r="AB121"/>
  <c r="V121"/>
  <c r="T121"/>
  <c r="X121" s="1"/>
  <c r="N121"/>
  <c r="L121"/>
  <c r="L142" s="1"/>
  <c r="AL119"/>
  <c r="AJ119"/>
  <c r="AL118"/>
  <c r="AJ118"/>
  <c r="AG118"/>
  <c r="AE118"/>
  <c r="AI118" s="1"/>
  <c r="AC118"/>
  <c r="AB118"/>
  <c r="N118"/>
  <c r="AL117"/>
  <c r="AJ117"/>
  <c r="AG117"/>
  <c r="AE117"/>
  <c r="AI117" s="1"/>
  <c r="AB117"/>
  <c r="AL116"/>
  <c r="AJ116"/>
  <c r="AG116"/>
  <c r="AE116"/>
  <c r="AI116" s="1"/>
  <c r="AB116"/>
  <c r="L116"/>
  <c r="AL115"/>
  <c r="AJ115"/>
  <c r="AG115"/>
  <c r="AE115"/>
  <c r="AI115" s="1"/>
  <c r="AC115"/>
  <c r="AB115"/>
  <c r="V115"/>
  <c r="T115"/>
  <c r="X115" s="1"/>
  <c r="S115"/>
  <c r="L115"/>
  <c r="AL114"/>
  <c r="AJ114"/>
  <c r="AG114"/>
  <c r="AE114"/>
  <c r="AI114" s="1"/>
  <c r="AB114"/>
  <c r="V114"/>
  <c r="T114"/>
  <c r="X114" s="1"/>
  <c r="N114"/>
  <c r="L114"/>
  <c r="AL112"/>
  <c r="AJ112"/>
  <c r="N112"/>
  <c r="AL111"/>
  <c r="AJ111"/>
  <c r="AG111"/>
  <c r="AE111"/>
  <c r="AC111"/>
  <c r="N111"/>
  <c r="AL110"/>
  <c r="AJ110"/>
  <c r="AG110"/>
  <c r="AE110"/>
  <c r="AI110" s="1"/>
  <c r="AB110"/>
  <c r="AL109"/>
  <c r="AJ109"/>
  <c r="AG109"/>
  <c r="AE109"/>
  <c r="AI109" s="1"/>
  <c r="AB109"/>
  <c r="L109"/>
  <c r="AL108"/>
  <c r="AJ108"/>
  <c r="AG108"/>
  <c r="AE108"/>
  <c r="AC108"/>
  <c r="AI108" s="1"/>
  <c r="AB108"/>
  <c r="V108"/>
  <c r="T108"/>
  <c r="X108" s="1"/>
  <c r="S108"/>
  <c r="L108"/>
  <c r="H108"/>
  <c r="AB111" s="1"/>
  <c r="AL107"/>
  <c r="AJ107"/>
  <c r="AG107"/>
  <c r="AE107"/>
  <c r="AC107"/>
  <c r="AI107" s="1"/>
  <c r="AB107"/>
  <c r="V107"/>
  <c r="T107"/>
  <c r="X107" s="1"/>
  <c r="N107"/>
  <c r="L107"/>
  <c r="AL105"/>
  <c r="AJ105"/>
  <c r="N105"/>
  <c r="N120" s="1"/>
  <c r="AL104"/>
  <c r="AJ104"/>
  <c r="AG104"/>
  <c r="AE104"/>
  <c r="AI104" s="1"/>
  <c r="AC104"/>
  <c r="AB104"/>
  <c r="N104"/>
  <c r="AL103"/>
  <c r="AJ103"/>
  <c r="AG103"/>
  <c r="AE103"/>
  <c r="AI103" s="1"/>
  <c r="AB103"/>
  <c r="AL102"/>
  <c r="AJ102"/>
  <c r="AG102"/>
  <c r="AE102"/>
  <c r="AI102" s="1"/>
  <c r="AB102"/>
  <c r="L102"/>
  <c r="AL101"/>
  <c r="AJ101"/>
  <c r="AG101"/>
  <c r="AE101"/>
  <c r="AI101" s="1"/>
  <c r="AB101"/>
  <c r="V101"/>
  <c r="T101"/>
  <c r="X101" s="1"/>
  <c r="S101"/>
  <c r="L101"/>
  <c r="AL100"/>
  <c r="AL120" s="1"/>
  <c r="AJ100"/>
  <c r="AJ120" s="1"/>
  <c r="AG100"/>
  <c r="AE100"/>
  <c r="AI100" s="1"/>
  <c r="AB100"/>
  <c r="V100"/>
  <c r="T100"/>
  <c r="X100" s="1"/>
  <c r="N100"/>
  <c r="L100"/>
  <c r="L120" s="1"/>
  <c r="AL97"/>
  <c r="AJ97"/>
  <c r="AL96"/>
  <c r="AJ96"/>
  <c r="AG96"/>
  <c r="AE96"/>
  <c r="AI96" s="1"/>
  <c r="AC96"/>
  <c r="AB96"/>
  <c r="N96"/>
  <c r="AL95"/>
  <c r="AJ95"/>
  <c r="AG95"/>
  <c r="AE95"/>
  <c r="AI95" s="1"/>
  <c r="AB95"/>
  <c r="AL94"/>
  <c r="AJ94"/>
  <c r="AG94"/>
  <c r="AE94"/>
  <c r="AI94" s="1"/>
  <c r="AB94"/>
  <c r="L94"/>
  <c r="AL93"/>
  <c r="AJ93"/>
  <c r="AG93"/>
  <c r="AE93"/>
  <c r="AI93" s="1"/>
  <c r="AC93"/>
  <c r="AB93"/>
  <c r="V93"/>
  <c r="T93"/>
  <c r="X93" s="1"/>
  <c r="S93"/>
  <c r="L93"/>
  <c r="AL92"/>
  <c r="AJ92"/>
  <c r="AG92"/>
  <c r="AE92"/>
  <c r="AI92" s="1"/>
  <c r="AB92"/>
  <c r="V92"/>
  <c r="T92"/>
  <c r="X92" s="1"/>
  <c r="N92"/>
  <c r="L92"/>
  <c r="AL90"/>
  <c r="AJ90"/>
  <c r="N90"/>
  <c r="AL89"/>
  <c r="AJ89"/>
  <c r="AG89"/>
  <c r="AE89"/>
  <c r="AC89"/>
  <c r="AI89" s="1"/>
  <c r="N89"/>
  <c r="AL88"/>
  <c r="AJ88"/>
  <c r="AG88"/>
  <c r="AE88"/>
  <c r="AI88" s="1"/>
  <c r="AB88"/>
  <c r="AL87"/>
  <c r="AJ87"/>
  <c r="AG87"/>
  <c r="AE87"/>
  <c r="AI87" s="1"/>
  <c r="AB87"/>
  <c r="L87"/>
  <c r="AL86"/>
  <c r="AJ86"/>
  <c r="AG86"/>
  <c r="AE86"/>
  <c r="AC86"/>
  <c r="AI86" s="1"/>
  <c r="AB86"/>
  <c r="V86"/>
  <c r="T86"/>
  <c r="X86" s="1"/>
  <c r="S86"/>
  <c r="L86"/>
  <c r="H86"/>
  <c r="AB89" s="1"/>
  <c r="AL85"/>
  <c r="AJ85"/>
  <c r="AG85"/>
  <c r="AE85"/>
  <c r="AC85"/>
  <c r="AI85" s="1"/>
  <c r="AB85"/>
  <c r="V85"/>
  <c r="T85"/>
  <c r="X85" s="1"/>
  <c r="N85"/>
  <c r="L85"/>
  <c r="AL83"/>
  <c r="AJ83"/>
  <c r="N83"/>
  <c r="N98" s="1"/>
  <c r="AL82"/>
  <c r="AJ82"/>
  <c r="AG82"/>
  <c r="AE82"/>
  <c r="AI82" s="1"/>
  <c r="AC82"/>
  <c r="AB82"/>
  <c r="N82"/>
  <c r="AL81"/>
  <c r="AJ81"/>
  <c r="AG81"/>
  <c r="AE81"/>
  <c r="AI81" s="1"/>
  <c r="AB81"/>
  <c r="AL80"/>
  <c r="AJ80"/>
  <c r="AG80"/>
  <c r="AE80"/>
  <c r="AI80" s="1"/>
  <c r="AB80"/>
  <c r="L80"/>
  <c r="AL79"/>
  <c r="AJ79"/>
  <c r="AG79"/>
  <c r="AE79"/>
  <c r="AI79" s="1"/>
  <c r="AB79"/>
  <c r="V79"/>
  <c r="T79"/>
  <c r="X79" s="1"/>
  <c r="S79"/>
  <c r="L79"/>
  <c r="AL78"/>
  <c r="AL98" s="1"/>
  <c r="AJ78"/>
  <c r="AJ98" s="1"/>
  <c r="AG78"/>
  <c r="AE78"/>
  <c r="AI78" s="1"/>
  <c r="AB78"/>
  <c r="V78"/>
  <c r="T78"/>
  <c r="X78" s="1"/>
  <c r="N78"/>
  <c r="L78"/>
  <c r="L98" s="1"/>
  <c r="AL75"/>
  <c r="AJ75"/>
  <c r="AL74"/>
  <c r="AJ74"/>
  <c r="AG74"/>
  <c r="AE74"/>
  <c r="AI74" s="1"/>
  <c r="AC74"/>
  <c r="AB74"/>
  <c r="N74"/>
  <c r="AL73"/>
  <c r="AJ73"/>
  <c r="AG73"/>
  <c r="AE73"/>
  <c r="AI73" s="1"/>
  <c r="AB73"/>
  <c r="AL72"/>
  <c r="AJ72"/>
  <c r="AG72"/>
  <c r="AE72"/>
  <c r="AI72" s="1"/>
  <c r="AB72"/>
  <c r="L72"/>
  <c r="AL71"/>
  <c r="AJ71"/>
  <c r="AG71"/>
  <c r="AE71"/>
  <c r="AI71" s="1"/>
  <c r="AC71"/>
  <c r="AB71"/>
  <c r="V71"/>
  <c r="T71"/>
  <c r="X71" s="1"/>
  <c r="S71"/>
  <c r="L71"/>
  <c r="AL70"/>
  <c r="AJ70"/>
  <c r="AG70"/>
  <c r="AE70"/>
  <c r="AI70" s="1"/>
  <c r="AB70"/>
  <c r="V70"/>
  <c r="T70"/>
  <c r="X70" s="1"/>
  <c r="N70"/>
  <c r="L70"/>
  <c r="AL68"/>
  <c r="AJ68"/>
  <c r="N68"/>
  <c r="AL67"/>
  <c r="AJ67"/>
  <c r="AG67"/>
  <c r="AE67"/>
  <c r="AC67"/>
  <c r="N67"/>
  <c r="AL66"/>
  <c r="AJ66"/>
  <c r="AG66"/>
  <c r="AE66"/>
  <c r="AI66" s="1"/>
  <c r="AB66"/>
  <c r="AL65"/>
  <c r="AJ65"/>
  <c r="AG65"/>
  <c r="AE65"/>
  <c r="AI65" s="1"/>
  <c r="AB65"/>
  <c r="L65"/>
  <c r="AL64"/>
  <c r="AJ64"/>
  <c r="AG64"/>
  <c r="AE64"/>
  <c r="AC64"/>
  <c r="AI64" s="1"/>
  <c r="AB64"/>
  <c r="V64"/>
  <c r="T64"/>
  <c r="X64" s="1"/>
  <c r="S64"/>
  <c r="L64"/>
  <c r="H64"/>
  <c r="AB67" s="1"/>
  <c r="AL63"/>
  <c r="AJ63"/>
  <c r="AG63"/>
  <c r="AE63"/>
  <c r="AC63"/>
  <c r="AI63" s="1"/>
  <c r="AB63"/>
  <c r="V63"/>
  <c r="T63"/>
  <c r="X63" s="1"/>
  <c r="N63"/>
  <c r="L63"/>
  <c r="AL61"/>
  <c r="AJ61"/>
  <c r="N61"/>
  <c r="N76" s="1"/>
  <c r="AL60"/>
  <c r="AJ60"/>
  <c r="AG60"/>
  <c r="AE60"/>
  <c r="AI60" s="1"/>
  <c r="AC60"/>
  <c r="AB60"/>
  <c r="N60"/>
  <c r="AL59"/>
  <c r="AJ59"/>
  <c r="AG59"/>
  <c r="AE59"/>
  <c r="AI59" s="1"/>
  <c r="AB59"/>
  <c r="AL58"/>
  <c r="AJ58"/>
  <c r="AG58"/>
  <c r="AE58"/>
  <c r="AI58" s="1"/>
  <c r="AB58"/>
  <c r="L58"/>
  <c r="AL57"/>
  <c r="AJ57"/>
  <c r="AG57"/>
  <c r="AE57"/>
  <c r="AI57" s="1"/>
  <c r="AB57"/>
  <c r="V57"/>
  <c r="T57"/>
  <c r="X57" s="1"/>
  <c r="S57"/>
  <c r="L57"/>
  <c r="AL56"/>
  <c r="AL76" s="1"/>
  <c r="AJ56"/>
  <c r="AJ76" s="1"/>
  <c r="AG56"/>
  <c r="AE56"/>
  <c r="AI56" s="1"/>
  <c r="AB56"/>
  <c r="V56"/>
  <c r="T56"/>
  <c r="X56" s="1"/>
  <c r="N56"/>
  <c r="L56"/>
  <c r="L76" s="1"/>
  <c r="AL53"/>
  <c r="AJ53"/>
  <c r="AL52"/>
  <c r="AJ52"/>
  <c r="AG52"/>
  <c r="AE52"/>
  <c r="AI52" s="1"/>
  <c r="AC52"/>
  <c r="AB52"/>
  <c r="N52"/>
  <c r="AL51"/>
  <c r="AJ51"/>
  <c r="AG51"/>
  <c r="AE51"/>
  <c r="AI51" s="1"/>
  <c r="AB51"/>
  <c r="AL50"/>
  <c r="AJ50"/>
  <c r="AG50"/>
  <c r="AE50"/>
  <c r="AI50" s="1"/>
  <c r="AB50"/>
  <c r="L50"/>
  <c r="AL49"/>
  <c r="AJ49"/>
  <c r="AG49"/>
  <c r="AE49"/>
  <c r="AI49" s="1"/>
  <c r="AC49"/>
  <c r="AB49"/>
  <c r="V49"/>
  <c r="T49"/>
  <c r="X49" s="1"/>
  <c r="S49"/>
  <c r="L49"/>
  <c r="AL48"/>
  <c r="AJ48"/>
  <c r="AG48"/>
  <c r="AE48"/>
  <c r="AI48" s="1"/>
  <c r="AB48"/>
  <c r="V48"/>
  <c r="T48"/>
  <c r="X48" s="1"/>
  <c r="N48"/>
  <c r="L48"/>
  <c r="AL46"/>
  <c r="AJ46"/>
  <c r="N46"/>
  <c r="AL45"/>
  <c r="AJ45"/>
  <c r="AG45"/>
  <c r="AE45"/>
  <c r="AC45"/>
  <c r="AI45" s="1"/>
  <c r="N45"/>
  <c r="AL44"/>
  <c r="AJ44"/>
  <c r="AG44"/>
  <c r="AE44"/>
  <c r="AI44" s="1"/>
  <c r="AB44"/>
  <c r="AL43"/>
  <c r="AJ43"/>
  <c r="AG43"/>
  <c r="AE43"/>
  <c r="AI43" s="1"/>
  <c r="AB43"/>
  <c r="L43"/>
  <c r="AL42"/>
  <c r="AJ42"/>
  <c r="AG42"/>
  <c r="AE42"/>
  <c r="AC42"/>
  <c r="AI42" s="1"/>
  <c r="AB42"/>
  <c r="V42"/>
  <c r="T42"/>
  <c r="X42" s="1"/>
  <c r="S42"/>
  <c r="L42"/>
  <c r="H42"/>
  <c r="AB45" s="1"/>
  <c r="AL41"/>
  <c r="AJ41"/>
  <c r="AG41"/>
  <c r="AE41"/>
  <c r="AC41"/>
  <c r="AI41" s="1"/>
  <c r="AB41"/>
  <c r="V41"/>
  <c r="T41"/>
  <c r="X41" s="1"/>
  <c r="N41"/>
  <c r="L41"/>
  <c r="AL39"/>
  <c r="AJ39"/>
  <c r="N39"/>
  <c r="N54" s="1"/>
  <c r="AL38"/>
  <c r="AJ38"/>
  <c r="AG38"/>
  <c r="AE38"/>
  <c r="AC38"/>
  <c r="AB38"/>
  <c r="N38"/>
  <c r="AL37"/>
  <c r="AJ37"/>
  <c r="AG37"/>
  <c r="AE37"/>
  <c r="AB37"/>
  <c r="AL36"/>
  <c r="AJ36"/>
  <c r="AG36"/>
  <c r="AE36"/>
  <c r="AI36" s="1"/>
  <c r="AK36" s="1"/>
  <c r="AB36"/>
  <c r="L36"/>
  <c r="AL35"/>
  <c r="AJ35"/>
  <c r="AG35"/>
  <c r="AE35"/>
  <c r="AI35" s="1"/>
  <c r="AK35" s="1"/>
  <c r="AB35"/>
  <c r="V35"/>
  <c r="T35"/>
  <c r="X35" s="1"/>
  <c r="S35"/>
  <c r="L35"/>
  <c r="AL34"/>
  <c r="AJ34"/>
  <c r="AJ54" s="1"/>
  <c r="AG34"/>
  <c r="AE34"/>
  <c r="AI34" s="1"/>
  <c r="AK34" s="1"/>
  <c r="AB34"/>
  <c r="V34"/>
  <c r="T34"/>
  <c r="X34" s="1"/>
  <c r="N34"/>
  <c r="L34"/>
  <c r="L54" s="1"/>
  <c r="AL30"/>
  <c r="AJ30"/>
  <c r="N30"/>
  <c r="AL29"/>
  <c r="AJ29"/>
  <c r="AG29"/>
  <c r="AE29"/>
  <c r="AC29"/>
  <c r="AI29" s="1"/>
  <c r="AB29"/>
  <c r="N29"/>
  <c r="AL28"/>
  <c r="AJ28"/>
  <c r="AG28"/>
  <c r="AE28"/>
  <c r="AI28" s="1"/>
  <c r="AK28" s="1"/>
  <c r="AB28"/>
  <c r="AL27"/>
  <c r="AJ27"/>
  <c r="AG27"/>
  <c r="AE27"/>
  <c r="AB27"/>
  <c r="L27"/>
  <c r="AL26"/>
  <c r="AJ26"/>
  <c r="AG26"/>
  <c r="AE26"/>
  <c r="AB26"/>
  <c r="V26"/>
  <c r="T26"/>
  <c r="X26" s="1"/>
  <c r="S26"/>
  <c r="L26"/>
  <c r="AL25"/>
  <c r="AJ25"/>
  <c r="AG25"/>
  <c r="AE25"/>
  <c r="AI25" s="1"/>
  <c r="AB25"/>
  <c r="V25"/>
  <c r="T25"/>
  <c r="N25"/>
  <c r="N32" s="1"/>
  <c r="L25"/>
  <c r="AL23"/>
  <c r="AJ23"/>
  <c r="N23"/>
  <c r="AL22"/>
  <c r="AJ22"/>
  <c r="AG22"/>
  <c r="AE22"/>
  <c r="AC22"/>
  <c r="AI22" s="1"/>
  <c r="AB22"/>
  <c r="N22"/>
  <c r="AL21"/>
  <c r="AJ21"/>
  <c r="AG21"/>
  <c r="AE21"/>
  <c r="AI21" s="1"/>
  <c r="AC21"/>
  <c r="AB21"/>
  <c r="AL20"/>
  <c r="AJ20"/>
  <c r="AG20"/>
  <c r="AE20"/>
  <c r="AI20" s="1"/>
  <c r="AC20"/>
  <c r="AB20"/>
  <c r="L20"/>
  <c r="AL19"/>
  <c r="AJ19"/>
  <c r="AG19"/>
  <c r="AE19"/>
  <c r="AC19"/>
  <c r="AI19" s="1"/>
  <c r="AB19"/>
  <c r="V19"/>
  <c r="T19"/>
  <c r="X19" s="1"/>
  <c r="S19"/>
  <c r="L19"/>
  <c r="AL18"/>
  <c r="AJ18"/>
  <c r="AG18"/>
  <c r="AE18"/>
  <c r="AI18" s="1"/>
  <c r="AB18"/>
  <c r="V18"/>
  <c r="T18"/>
  <c r="X18" s="1"/>
  <c r="N18"/>
  <c r="L18"/>
  <c r="AL17"/>
  <c r="AL16"/>
  <c r="AJ16"/>
  <c r="N16"/>
  <c r="AL15"/>
  <c r="AJ15"/>
  <c r="N15"/>
  <c r="AL14"/>
  <c r="AJ14"/>
  <c r="AG14"/>
  <c r="AE14"/>
  <c r="AC14"/>
  <c r="AI14" s="1"/>
  <c r="AB14"/>
  <c r="AL13"/>
  <c r="AJ13"/>
  <c r="AG13"/>
  <c r="AE13"/>
  <c r="AI13" s="1"/>
  <c r="AB13"/>
  <c r="L13"/>
  <c r="AL12"/>
  <c r="AJ12"/>
  <c r="AG12"/>
  <c r="AE12"/>
  <c r="AI12" s="1"/>
  <c r="AB12"/>
  <c r="V12"/>
  <c r="T12"/>
  <c r="S12"/>
  <c r="L12"/>
  <c r="AL11"/>
  <c r="AL32" s="1"/>
  <c r="AJ11"/>
  <c r="AG11"/>
  <c r="AE11"/>
  <c r="AB11"/>
  <c r="V11"/>
  <c r="T11"/>
  <c r="X11" s="1"/>
  <c r="N11"/>
  <c r="L11"/>
  <c r="L32" s="1"/>
  <c r="AL9"/>
  <c r="AK382" l="1"/>
  <c r="AK380"/>
  <c r="AK379"/>
  <c r="AK374"/>
  <c r="AK369"/>
  <c r="AK368"/>
  <c r="AK366"/>
  <c r="AK365"/>
  <c r="AK364"/>
  <c r="AK358"/>
  <c r="AK355"/>
  <c r="AK353"/>
  <c r="AK352"/>
  <c r="AK350"/>
  <c r="AK349"/>
  <c r="AK344"/>
  <c r="AK339"/>
  <c r="AK337"/>
  <c r="AK334"/>
  <c r="AK332"/>
  <c r="AK331"/>
  <c r="AK329"/>
  <c r="AK328"/>
  <c r="AK327"/>
  <c r="AK323"/>
  <c r="AK317"/>
  <c r="AK315"/>
  <c r="AK312"/>
  <c r="AK310"/>
  <c r="AK309"/>
  <c r="AK307"/>
  <c r="AK306"/>
  <c r="AK305"/>
  <c r="AK301"/>
  <c r="AK295"/>
  <c r="AK293"/>
  <c r="AK290"/>
  <c r="AK288"/>
  <c r="AK287"/>
  <c r="AK285"/>
  <c r="AK284"/>
  <c r="AK283"/>
  <c r="AK279"/>
  <c r="AK273"/>
  <c r="AK271"/>
  <c r="AK268"/>
  <c r="AK266"/>
  <c r="AK265"/>
  <c r="AK263"/>
  <c r="AK262"/>
  <c r="AK261"/>
  <c r="AK257"/>
  <c r="AK250"/>
  <c r="AK249"/>
  <c r="AK247"/>
  <c r="AK246"/>
  <c r="AK241"/>
  <c r="AK238"/>
  <c r="AK236"/>
  <c r="AK235"/>
  <c r="AK233"/>
  <c r="AK232"/>
  <c r="AK231"/>
  <c r="AK228"/>
  <c r="AK226"/>
  <c r="AK225"/>
  <c r="AK220"/>
  <c r="AK215"/>
  <c r="AK214"/>
  <c r="AK212"/>
  <c r="AK211"/>
  <c r="AK210"/>
  <c r="AK206"/>
  <c r="AK204"/>
  <c r="AK203"/>
  <c r="AK198"/>
  <c r="AK193"/>
  <c r="AK192"/>
  <c r="AK190"/>
  <c r="AK189"/>
  <c r="AK188"/>
  <c r="AK184"/>
  <c r="AK182"/>
  <c r="AK181"/>
  <c r="AK176"/>
  <c r="AK171"/>
  <c r="AK170"/>
  <c r="AK168"/>
  <c r="AK167"/>
  <c r="AK166"/>
  <c r="AK162"/>
  <c r="AK160"/>
  <c r="AK159"/>
  <c r="AK154"/>
  <c r="AK149"/>
  <c r="AK148"/>
  <c r="AK146"/>
  <c r="AK145"/>
  <c r="AK144"/>
  <c r="AK383"/>
  <c r="AK381"/>
  <c r="AK378"/>
  <c r="AK376"/>
  <c r="AK375"/>
  <c r="AK373"/>
  <c r="AK372"/>
  <c r="AK371"/>
  <c r="AK367"/>
  <c r="AK360"/>
  <c r="AK359"/>
  <c r="AK357"/>
  <c r="AK356"/>
  <c r="AK351"/>
  <c r="AK348"/>
  <c r="AK346"/>
  <c r="AK345"/>
  <c r="AK343"/>
  <c r="AK342"/>
  <c r="AK341"/>
  <c r="AK338"/>
  <c r="AK336"/>
  <c r="AK335"/>
  <c r="AK330"/>
  <c r="AK325"/>
  <c r="AK324"/>
  <c r="AK322"/>
  <c r="AK321"/>
  <c r="AK320"/>
  <c r="AK340" s="1"/>
  <c r="AK316"/>
  <c r="AK314"/>
  <c r="AK313"/>
  <c r="AK308"/>
  <c r="AK303"/>
  <c r="AK302"/>
  <c r="AK300"/>
  <c r="AK299"/>
  <c r="AK298"/>
  <c r="AK294"/>
  <c r="AK292"/>
  <c r="AK291"/>
  <c r="AK286"/>
  <c r="AK281"/>
  <c r="AK280"/>
  <c r="AK278"/>
  <c r="AK277"/>
  <c r="AK276"/>
  <c r="AK296" s="1"/>
  <c r="AK272"/>
  <c r="AK270"/>
  <c r="AK269"/>
  <c r="AK264"/>
  <c r="AK259"/>
  <c r="AK258"/>
  <c r="AK256"/>
  <c r="AK255"/>
  <c r="AK254"/>
  <c r="AK248"/>
  <c r="AK245"/>
  <c r="AK243"/>
  <c r="AK242"/>
  <c r="AK240"/>
  <c r="AK239"/>
  <c r="AK234"/>
  <c r="AK229"/>
  <c r="AK227"/>
  <c r="AK224"/>
  <c r="AK222"/>
  <c r="AK221"/>
  <c r="AK219"/>
  <c r="AK218"/>
  <c r="AK217"/>
  <c r="AK213"/>
  <c r="AK207"/>
  <c r="AK205"/>
  <c r="AK202"/>
  <c r="AK200"/>
  <c r="AK199"/>
  <c r="AK197"/>
  <c r="AK196"/>
  <c r="AK195"/>
  <c r="AK191"/>
  <c r="AK185"/>
  <c r="AK183"/>
  <c r="AK180"/>
  <c r="AK178"/>
  <c r="AK177"/>
  <c r="AK175"/>
  <c r="AK174"/>
  <c r="AK173"/>
  <c r="AK169"/>
  <c r="AK163"/>
  <c r="AK161"/>
  <c r="AK158"/>
  <c r="AK156"/>
  <c r="AK155"/>
  <c r="AK153"/>
  <c r="AK152"/>
  <c r="AK151"/>
  <c r="AK147"/>
  <c r="AK140"/>
  <c r="AK139"/>
  <c r="AK138"/>
  <c r="AK135"/>
  <c r="AK133"/>
  <c r="AK132"/>
  <c r="AK130"/>
  <c r="AK129"/>
  <c r="AK124"/>
  <c r="AK119"/>
  <c r="AK117"/>
  <c r="AK114"/>
  <c r="AK112"/>
  <c r="AK111"/>
  <c r="AK109"/>
  <c r="AK108"/>
  <c r="AK107"/>
  <c r="AK103"/>
  <c r="AK97"/>
  <c r="AK95"/>
  <c r="AK92"/>
  <c r="AK90"/>
  <c r="AK89"/>
  <c r="AK87"/>
  <c r="AK86"/>
  <c r="AK85"/>
  <c r="AK81"/>
  <c r="AK75"/>
  <c r="AK73"/>
  <c r="AK70"/>
  <c r="AK68"/>
  <c r="AK67"/>
  <c r="AK65"/>
  <c r="AK64"/>
  <c r="AK63"/>
  <c r="AK59"/>
  <c r="AK53"/>
  <c r="AK51"/>
  <c r="AK48"/>
  <c r="AK46"/>
  <c r="AK45"/>
  <c r="AK43"/>
  <c r="AK42"/>
  <c r="AK41"/>
  <c r="AK30"/>
  <c r="AK29"/>
  <c r="AK27"/>
  <c r="AK25"/>
  <c r="AK23"/>
  <c r="AK22"/>
  <c r="AK19"/>
  <c r="AK16"/>
  <c r="AK15"/>
  <c r="AK14"/>
  <c r="AK13"/>
  <c r="AK12"/>
  <c r="AK137"/>
  <c r="AK136"/>
  <c r="AK131"/>
  <c r="AK128"/>
  <c r="AK126"/>
  <c r="AK125"/>
  <c r="AK123"/>
  <c r="AK122"/>
  <c r="AK121"/>
  <c r="AK142" s="1"/>
  <c r="AK118"/>
  <c r="AK116"/>
  <c r="AK115"/>
  <c r="AK110"/>
  <c r="AK105"/>
  <c r="AK104"/>
  <c r="AK102"/>
  <c r="AK101"/>
  <c r="AK100"/>
  <c r="AK96"/>
  <c r="AK94"/>
  <c r="AK93"/>
  <c r="AK88"/>
  <c r="AK83"/>
  <c r="AK82"/>
  <c r="AK80"/>
  <c r="AK79"/>
  <c r="AK78"/>
  <c r="AK98" s="1"/>
  <c r="AK74"/>
  <c r="AK72"/>
  <c r="AK71"/>
  <c r="AK66"/>
  <c r="AK61"/>
  <c r="AK60"/>
  <c r="AK58"/>
  <c r="AK57"/>
  <c r="AK56"/>
  <c r="AK52"/>
  <c r="AK50"/>
  <c r="AK49"/>
  <c r="AK44"/>
  <c r="AK39"/>
  <c r="AK38"/>
  <c r="AI38"/>
  <c r="AI11"/>
  <c r="AK11" s="1"/>
  <c r="AJ32"/>
  <c r="X12"/>
  <c r="AK18"/>
  <c r="AK20"/>
  <c r="AK21"/>
  <c r="X25"/>
  <c r="AI26"/>
  <c r="AK26" s="1"/>
  <c r="AI27"/>
  <c r="AL54"/>
  <c r="AI37"/>
  <c r="AK37" s="1"/>
  <c r="AK54" s="1"/>
  <c r="AI67"/>
  <c r="AI111"/>
  <c r="AI155"/>
  <c r="AI199"/>
  <c r="AI375"/>
  <c r="N142"/>
  <c r="AJ142"/>
  <c r="AL142"/>
  <c r="AI139"/>
  <c r="AI265"/>
  <c r="AI287"/>
  <c r="AI309"/>
  <c r="AI331"/>
  <c r="AB155"/>
  <c r="AB177"/>
  <c r="AI177" s="1"/>
  <c r="AB199"/>
  <c r="AB221"/>
  <c r="AI221" s="1"/>
  <c r="N265"/>
  <c r="N274" s="1"/>
  <c r="N287"/>
  <c r="N296" s="1"/>
  <c r="N309"/>
  <c r="N318" s="1"/>
  <c r="N331"/>
  <c r="N340" s="1"/>
  <c r="AB375"/>
  <c r="AK32" l="1"/>
  <c r="AK186"/>
  <c r="AK230"/>
  <c r="AK76"/>
  <c r="AK120"/>
  <c r="AK274"/>
  <c r="AK318"/>
  <c r="AK362"/>
  <c r="AK164"/>
  <c r="AK208"/>
  <c r="AK252"/>
  <c r="AK384"/>
  <c r="AC75" i="22" l="1"/>
  <c r="AB75"/>
  <c r="W75"/>
  <c r="Y75" s="1"/>
  <c r="V75"/>
  <c r="X75" s="1"/>
  <c r="Q75"/>
  <c r="S75" s="1"/>
  <c r="P75"/>
  <c r="R75" s="1"/>
  <c r="J75"/>
  <c r="J77" s="1"/>
  <c r="H75"/>
  <c r="H77" s="1"/>
  <c r="G75"/>
  <c r="I75" s="1"/>
  <c r="AC72"/>
  <c r="AB72"/>
  <c r="W72"/>
  <c r="Y72" s="1"/>
  <c r="AA72" s="1"/>
  <c r="AE72" s="1"/>
  <c r="V72"/>
  <c r="X72" s="1"/>
  <c r="Z72" s="1"/>
  <c r="AD72" s="1"/>
  <c r="S72"/>
  <c r="R72"/>
  <c r="J72"/>
  <c r="I72"/>
  <c r="I77" s="1"/>
  <c r="H72"/>
  <c r="M71"/>
  <c r="L71"/>
  <c r="AC66"/>
  <c r="AB66"/>
  <c r="W66"/>
  <c r="Y66" s="1"/>
  <c r="V66"/>
  <c r="X66" s="1"/>
  <c r="J66"/>
  <c r="H66"/>
  <c r="G66"/>
  <c r="I66" s="1"/>
  <c r="AC65"/>
  <c r="AB65"/>
  <c r="W65"/>
  <c r="Y65" s="1"/>
  <c r="V65"/>
  <c r="X65" s="1"/>
  <c r="Q65"/>
  <c r="Q66" s="1"/>
  <c r="S66" s="1"/>
  <c r="P65"/>
  <c r="P66" s="1"/>
  <c r="R66" s="1"/>
  <c r="J65"/>
  <c r="I65"/>
  <c r="H65"/>
  <c r="AC62"/>
  <c r="AB62"/>
  <c r="W62"/>
  <c r="Y62" s="1"/>
  <c r="AA62" s="1"/>
  <c r="AE62" s="1"/>
  <c r="V62"/>
  <c r="X62" s="1"/>
  <c r="Z62" s="1"/>
  <c r="AD62" s="1"/>
  <c r="S62"/>
  <c r="R62"/>
  <c r="J62"/>
  <c r="J67" s="1"/>
  <c r="I62"/>
  <c r="I67" s="1"/>
  <c r="H62"/>
  <c r="AF62" s="1"/>
  <c r="F62"/>
  <c r="M61"/>
  <c r="L61"/>
  <c r="AC56"/>
  <c r="AB56"/>
  <c r="W56"/>
  <c r="Y56" s="1"/>
  <c r="AA56" s="1"/>
  <c r="AE56" s="1"/>
  <c r="V56"/>
  <c r="X56" s="1"/>
  <c r="J56"/>
  <c r="H56"/>
  <c r="G56"/>
  <c r="I56" s="1"/>
  <c r="AC55"/>
  <c r="AB55"/>
  <c r="W55"/>
  <c r="Y55" s="1"/>
  <c r="V55"/>
  <c r="X55" s="1"/>
  <c r="Q55"/>
  <c r="Q56" s="1"/>
  <c r="S56" s="1"/>
  <c r="P55"/>
  <c r="P56" s="1"/>
  <c r="R56" s="1"/>
  <c r="J55"/>
  <c r="H55"/>
  <c r="G55"/>
  <c r="I55" s="1"/>
  <c r="AC52"/>
  <c r="AB52"/>
  <c r="W52"/>
  <c r="Y52" s="1"/>
  <c r="AA52" s="1"/>
  <c r="AE52" s="1"/>
  <c r="V52"/>
  <c r="X52" s="1"/>
  <c r="Z52" s="1"/>
  <c r="AD52" s="1"/>
  <c r="S52"/>
  <c r="R52"/>
  <c r="I52"/>
  <c r="I57" s="1"/>
  <c r="F52"/>
  <c r="J52" s="1"/>
  <c r="J57" s="1"/>
  <c r="E52"/>
  <c r="M51"/>
  <c r="L51"/>
  <c r="AC46"/>
  <c r="AB46"/>
  <c r="W46"/>
  <c r="Y46" s="1"/>
  <c r="V46"/>
  <c r="X46" s="1"/>
  <c r="Z46" s="1"/>
  <c r="AD46" s="1"/>
  <c r="J46"/>
  <c r="H46"/>
  <c r="G46"/>
  <c r="I46" s="1"/>
  <c r="AC45"/>
  <c r="AB45"/>
  <c r="W45"/>
  <c r="Y45" s="1"/>
  <c r="V45"/>
  <c r="X45" s="1"/>
  <c r="Q45"/>
  <c r="Q46" s="1"/>
  <c r="S46" s="1"/>
  <c r="P45"/>
  <c r="P46" s="1"/>
  <c r="R46" s="1"/>
  <c r="J45"/>
  <c r="J47" s="1"/>
  <c r="H45"/>
  <c r="H47" s="1"/>
  <c r="G45"/>
  <c r="I45" s="1"/>
  <c r="AC43"/>
  <c r="AB43"/>
  <c r="W43"/>
  <c r="Y43" s="1"/>
  <c r="AA43" s="1"/>
  <c r="AE43" s="1"/>
  <c r="V43"/>
  <c r="X43" s="1"/>
  <c r="Z43" s="1"/>
  <c r="AD43" s="1"/>
  <c r="AF43" s="1"/>
  <c r="S43"/>
  <c r="R43"/>
  <c r="J43"/>
  <c r="I43"/>
  <c r="H43"/>
  <c r="AC42"/>
  <c r="AB42"/>
  <c r="W42"/>
  <c r="Y42" s="1"/>
  <c r="AA42" s="1"/>
  <c r="AE42" s="1"/>
  <c r="V42"/>
  <c r="X42" s="1"/>
  <c r="Z42" s="1"/>
  <c r="AD42" s="1"/>
  <c r="S42"/>
  <c r="R42"/>
  <c r="J42"/>
  <c r="I42"/>
  <c r="H42"/>
  <c r="M41"/>
  <c r="L41"/>
  <c r="L36"/>
  <c r="L47" s="1"/>
  <c r="L57" s="1"/>
  <c r="L67" s="1"/>
  <c r="L77" s="1"/>
  <c r="A36"/>
  <c r="A47" s="1"/>
  <c r="A57" s="1"/>
  <c r="A67" s="1"/>
  <c r="A77" s="1"/>
  <c r="AC35"/>
  <c r="AB35"/>
  <c r="W35"/>
  <c r="Y35" s="1"/>
  <c r="V35"/>
  <c r="X35" s="1"/>
  <c r="J35"/>
  <c r="H35"/>
  <c r="G35"/>
  <c r="I35" s="1"/>
  <c r="AC34"/>
  <c r="AB34"/>
  <c r="W34"/>
  <c r="Y34" s="1"/>
  <c r="V34"/>
  <c r="X34" s="1"/>
  <c r="Q34"/>
  <c r="Q35" s="1"/>
  <c r="S35" s="1"/>
  <c r="P34"/>
  <c r="P35" s="1"/>
  <c r="R35" s="1"/>
  <c r="J34"/>
  <c r="J36" s="1"/>
  <c r="H34"/>
  <c r="H36" s="1"/>
  <c r="G34"/>
  <c r="I34" s="1"/>
  <c r="AC32"/>
  <c r="AB32"/>
  <c r="W32"/>
  <c r="Y32" s="1"/>
  <c r="AA32" s="1"/>
  <c r="AE32" s="1"/>
  <c r="V32"/>
  <c r="X32" s="1"/>
  <c r="Z32" s="1"/>
  <c r="AD32" s="1"/>
  <c r="AF32" s="1"/>
  <c r="S32"/>
  <c r="R32"/>
  <c r="J32"/>
  <c r="I32"/>
  <c r="H32"/>
  <c r="AC31"/>
  <c r="AB31"/>
  <c r="W31"/>
  <c r="Y31" s="1"/>
  <c r="AA31" s="1"/>
  <c r="AE31" s="1"/>
  <c r="V31"/>
  <c r="X31" s="1"/>
  <c r="Z31" s="1"/>
  <c r="AD31" s="1"/>
  <c r="S31"/>
  <c r="R31"/>
  <c r="J31"/>
  <c r="I31"/>
  <c r="I36" s="1"/>
  <c r="I47" s="1"/>
  <c r="H31"/>
  <c r="M30"/>
  <c r="L30"/>
  <c r="I29"/>
  <c r="AC28"/>
  <c r="AB28"/>
  <c r="U28"/>
  <c r="W28" s="1"/>
  <c r="Y28" s="1"/>
  <c r="AA28" s="1"/>
  <c r="AE28" s="1"/>
  <c r="T28"/>
  <c r="V28" s="1"/>
  <c r="X28" s="1"/>
  <c r="Z28" s="1"/>
  <c r="AD28" s="1"/>
  <c r="S28"/>
  <c r="R28"/>
  <c r="J28"/>
  <c r="I28"/>
  <c r="H28"/>
  <c r="AC25"/>
  <c r="AB25"/>
  <c r="U25"/>
  <c r="W25" s="1"/>
  <c r="Y25" s="1"/>
  <c r="AA25" s="1"/>
  <c r="AE25" s="1"/>
  <c r="AE29" s="1"/>
  <c r="T25"/>
  <c r="V25" s="1"/>
  <c r="X25" s="1"/>
  <c r="Z25" s="1"/>
  <c r="AD25" s="1"/>
  <c r="AD29" s="1"/>
  <c r="S25"/>
  <c r="R25"/>
  <c r="J25"/>
  <c r="J29" s="1"/>
  <c r="I25"/>
  <c r="H25"/>
  <c r="H29" s="1"/>
  <c r="AF29" s="1"/>
  <c r="M24"/>
  <c r="L24"/>
  <c r="BK532" i="21"/>
  <c r="BJ532"/>
  <c r="BI532"/>
  <c r="BH532"/>
  <c r="BG532"/>
  <c r="BF532"/>
  <c r="BE532"/>
  <c r="BD532"/>
  <c r="BC532"/>
  <c r="AX532"/>
  <c r="BP532" s="1"/>
  <c r="AV532"/>
  <c r="BN532" s="1"/>
  <c r="AS532"/>
  <c r="AR532"/>
  <c r="BA532" s="1"/>
  <c r="AQ532"/>
  <c r="AP532"/>
  <c r="AY532" s="1"/>
  <c r="BQ532" s="1"/>
  <c r="AO532"/>
  <c r="AN532"/>
  <c r="AW532" s="1"/>
  <c r="BO532" s="1"/>
  <c r="AM532"/>
  <c r="AL532"/>
  <c r="AU532" s="1"/>
  <c r="BM532" s="1"/>
  <c r="AK532"/>
  <c r="AT532" s="1"/>
  <c r="BL532" s="1"/>
  <c r="AH532"/>
  <c r="AG532"/>
  <c r="AF532"/>
  <c r="BB532" s="1"/>
  <c r="BS532" s="1"/>
  <c r="K532"/>
  <c r="J532"/>
  <c r="L532" s="1"/>
  <c r="BK531"/>
  <c r="BJ531"/>
  <c r="BI531"/>
  <c r="BH531"/>
  <c r="BG531"/>
  <c r="BF531"/>
  <c r="BE531"/>
  <c r="BD531"/>
  <c r="BC531"/>
  <c r="AX531"/>
  <c r="BP531" s="1"/>
  <c r="AV531"/>
  <c r="BN531" s="1"/>
  <c r="AT531"/>
  <c r="BL531" s="1"/>
  <c r="AS531"/>
  <c r="AR531"/>
  <c r="BA531" s="1"/>
  <c r="AQ531"/>
  <c r="AP531"/>
  <c r="AY531" s="1"/>
  <c r="BQ531" s="1"/>
  <c r="AO531"/>
  <c r="AN531"/>
  <c r="AW531" s="1"/>
  <c r="BO531" s="1"/>
  <c r="AM531"/>
  <c r="AL531"/>
  <c r="AU531" s="1"/>
  <c r="BM531" s="1"/>
  <c r="AK531"/>
  <c r="AH531"/>
  <c r="AG531"/>
  <c r="AF531"/>
  <c r="BB531" s="1"/>
  <c r="BS531" s="1"/>
  <c r="K531"/>
  <c r="J531"/>
  <c r="L531" s="1"/>
  <c r="BK530"/>
  <c r="BJ530"/>
  <c r="BI530"/>
  <c r="BH530"/>
  <c r="BG530"/>
  <c r="BF530"/>
  <c r="BE530"/>
  <c r="BD530"/>
  <c r="BC530"/>
  <c r="AX530"/>
  <c r="BP530" s="1"/>
  <c r="AV530"/>
  <c r="BN530" s="1"/>
  <c r="AT530"/>
  <c r="BL530" s="1"/>
  <c r="AS530"/>
  <c r="AR530"/>
  <c r="BA530" s="1"/>
  <c r="AQ530"/>
  <c r="AP530"/>
  <c r="AY530" s="1"/>
  <c r="BQ530" s="1"/>
  <c r="AO530"/>
  <c r="AN530"/>
  <c r="AW530" s="1"/>
  <c r="BO530" s="1"/>
  <c r="AM530"/>
  <c r="AL530"/>
  <c r="AU530" s="1"/>
  <c r="BM530" s="1"/>
  <c r="AK530"/>
  <c r="AH530"/>
  <c r="AG530"/>
  <c r="AF530"/>
  <c r="BB530" s="1"/>
  <c r="BS530" s="1"/>
  <c r="K530"/>
  <c r="J530"/>
  <c r="L530" s="1"/>
  <c r="BK529"/>
  <c r="BJ529"/>
  <c r="BI529"/>
  <c r="BH529"/>
  <c r="BG529"/>
  <c r="BF529"/>
  <c r="BE529"/>
  <c r="BD529"/>
  <c r="BC529"/>
  <c r="AX529"/>
  <c r="BP529" s="1"/>
  <c r="AV529"/>
  <c r="BN529" s="1"/>
  <c r="AT529"/>
  <c r="BL529" s="1"/>
  <c r="AS529"/>
  <c r="AR529"/>
  <c r="BA529" s="1"/>
  <c r="AQ529"/>
  <c r="AP529"/>
  <c r="AY529" s="1"/>
  <c r="BQ529" s="1"/>
  <c r="AO529"/>
  <c r="AN529"/>
  <c r="AW529" s="1"/>
  <c r="BO529" s="1"/>
  <c r="AM529"/>
  <c r="AL529"/>
  <c r="AU529" s="1"/>
  <c r="BM529" s="1"/>
  <c r="AK529"/>
  <c r="AH529"/>
  <c r="AG529"/>
  <c r="AF529"/>
  <c r="BB529" s="1"/>
  <c r="BS529" s="1"/>
  <c r="K529"/>
  <c r="J529"/>
  <c r="L529" s="1"/>
  <c r="BK527"/>
  <c r="BJ527"/>
  <c r="BI527"/>
  <c r="BH527"/>
  <c r="BG527"/>
  <c r="BF527"/>
  <c r="BE527"/>
  <c r="BD527"/>
  <c r="BC527"/>
  <c r="AX527"/>
  <c r="BP527" s="1"/>
  <c r="AV527"/>
  <c r="BN527" s="1"/>
  <c r="AT527"/>
  <c r="BL527" s="1"/>
  <c r="AS527"/>
  <c r="AR527"/>
  <c r="BA527" s="1"/>
  <c r="AQ527"/>
  <c r="AP527"/>
  <c r="AY527" s="1"/>
  <c r="BQ527" s="1"/>
  <c r="AO527"/>
  <c r="AN527"/>
  <c r="AW527" s="1"/>
  <c r="BO527" s="1"/>
  <c r="AM527"/>
  <c r="AL527"/>
  <c r="AU527" s="1"/>
  <c r="BM527" s="1"/>
  <c r="AK527"/>
  <c r="AH527"/>
  <c r="AG527"/>
  <c r="AF527"/>
  <c r="BB527" s="1"/>
  <c r="BS527" s="1"/>
  <c r="K527"/>
  <c r="J527"/>
  <c r="L527" s="1"/>
  <c r="BK526"/>
  <c r="BJ526"/>
  <c r="BI526"/>
  <c r="BH526"/>
  <c r="BG526"/>
  <c r="BF526"/>
  <c r="BE526"/>
  <c r="BD526"/>
  <c r="BC526"/>
  <c r="AX526"/>
  <c r="BP526" s="1"/>
  <c r="AV526"/>
  <c r="BN526" s="1"/>
  <c r="AT526"/>
  <c r="BL526" s="1"/>
  <c r="AS526"/>
  <c r="AR526"/>
  <c r="BA526" s="1"/>
  <c r="AQ526"/>
  <c r="AP526"/>
  <c r="AY526" s="1"/>
  <c r="BQ526" s="1"/>
  <c r="AO526"/>
  <c r="AN526"/>
  <c r="AW526" s="1"/>
  <c r="BO526" s="1"/>
  <c r="AM526"/>
  <c r="AL526"/>
  <c r="AU526" s="1"/>
  <c r="BM526" s="1"/>
  <c r="AK526"/>
  <c r="AH526"/>
  <c r="AG526"/>
  <c r="AF526"/>
  <c r="BB526" s="1"/>
  <c r="BS526" s="1"/>
  <c r="K526"/>
  <c r="J526"/>
  <c r="L526" s="1"/>
  <c r="BK525"/>
  <c r="BJ525"/>
  <c r="BI525"/>
  <c r="BH525"/>
  <c r="BG525"/>
  <c r="BF525"/>
  <c r="BE525"/>
  <c r="BD525"/>
  <c r="BC525"/>
  <c r="AX525"/>
  <c r="BP525" s="1"/>
  <c r="AV525"/>
  <c r="BN525" s="1"/>
  <c r="AS525"/>
  <c r="AR525"/>
  <c r="BA525" s="1"/>
  <c r="AQ525"/>
  <c r="AP525"/>
  <c r="AY525" s="1"/>
  <c r="BQ525" s="1"/>
  <c r="AO525"/>
  <c r="AN525"/>
  <c r="AW525" s="1"/>
  <c r="BO525" s="1"/>
  <c r="AM525"/>
  <c r="AL525"/>
  <c r="AU525" s="1"/>
  <c r="BM525" s="1"/>
  <c r="AK525"/>
  <c r="AT525" s="1"/>
  <c r="BL525" s="1"/>
  <c r="AH525"/>
  <c r="AG525"/>
  <c r="AF525"/>
  <c r="BB525" s="1"/>
  <c r="BS525" s="1"/>
  <c r="K525"/>
  <c r="J525"/>
  <c r="L525" s="1"/>
  <c r="BK524"/>
  <c r="BJ524"/>
  <c r="BI524"/>
  <c r="BH524"/>
  <c r="BG524"/>
  <c r="BF524"/>
  <c r="BE524"/>
  <c r="BD524"/>
  <c r="BC524"/>
  <c r="AX524"/>
  <c r="BP524" s="1"/>
  <c r="AV524"/>
  <c r="BN524" s="1"/>
  <c r="AS524"/>
  <c r="AR524"/>
  <c r="BA524" s="1"/>
  <c r="AQ524"/>
  <c r="AP524"/>
  <c r="AY524" s="1"/>
  <c r="BQ524" s="1"/>
  <c r="AO524"/>
  <c r="AN524"/>
  <c r="AW524" s="1"/>
  <c r="BO524" s="1"/>
  <c r="AM524"/>
  <c r="AL524"/>
  <c r="AU524" s="1"/>
  <c r="BM524" s="1"/>
  <c r="AK524"/>
  <c r="AT524" s="1"/>
  <c r="BL524" s="1"/>
  <c r="AH524"/>
  <c r="AG524"/>
  <c r="AF524"/>
  <c r="BB524" s="1"/>
  <c r="BS524" s="1"/>
  <c r="K524"/>
  <c r="J524"/>
  <c r="L524" s="1"/>
  <c r="BK523"/>
  <c r="BJ523"/>
  <c r="BI523"/>
  <c r="BH523"/>
  <c r="BG523"/>
  <c r="BF523"/>
  <c r="BE523"/>
  <c r="BD523"/>
  <c r="BC523"/>
  <c r="AX523"/>
  <c r="BP523" s="1"/>
  <c r="AV523"/>
  <c r="BN523" s="1"/>
  <c r="AT523"/>
  <c r="BL523" s="1"/>
  <c r="AS523"/>
  <c r="AR523"/>
  <c r="BA523" s="1"/>
  <c r="AQ523"/>
  <c r="AP523"/>
  <c r="AY523" s="1"/>
  <c r="BQ523" s="1"/>
  <c r="AO523"/>
  <c r="AN523"/>
  <c r="AW523" s="1"/>
  <c r="BO523" s="1"/>
  <c r="AM523"/>
  <c r="AL523"/>
  <c r="AU523" s="1"/>
  <c r="BM523" s="1"/>
  <c r="AK523"/>
  <c r="AH523"/>
  <c r="AG523"/>
  <c r="AF523"/>
  <c r="BB523" s="1"/>
  <c r="BS523" s="1"/>
  <c r="K523"/>
  <c r="J523"/>
  <c r="L523" s="1"/>
  <c r="BK522"/>
  <c r="BJ522"/>
  <c r="BI522"/>
  <c r="BH522"/>
  <c r="BG522"/>
  <c r="BF522"/>
  <c r="BE522"/>
  <c r="BD522"/>
  <c r="BC522"/>
  <c r="AX522"/>
  <c r="BP522" s="1"/>
  <c r="AV522"/>
  <c r="BN522" s="1"/>
  <c r="AS522"/>
  <c r="AR522"/>
  <c r="BA522" s="1"/>
  <c r="AQ522"/>
  <c r="AP522"/>
  <c r="AY522" s="1"/>
  <c r="BQ522" s="1"/>
  <c r="AO522"/>
  <c r="AN522"/>
  <c r="AW522" s="1"/>
  <c r="BO522" s="1"/>
  <c r="AM522"/>
  <c r="AL522"/>
  <c r="AU522" s="1"/>
  <c r="BM522" s="1"/>
  <c r="AK522"/>
  <c r="AT522" s="1"/>
  <c r="BL522" s="1"/>
  <c r="AH522"/>
  <c r="AG522"/>
  <c r="AF522"/>
  <c r="BB522" s="1"/>
  <c r="BS522" s="1"/>
  <c r="K522"/>
  <c r="J522"/>
  <c r="L522" s="1"/>
  <c r="BK521"/>
  <c r="BJ521"/>
  <c r="BI521"/>
  <c r="BH521"/>
  <c r="BG521"/>
  <c r="BF521"/>
  <c r="BE521"/>
  <c r="BD521"/>
  <c r="BC521"/>
  <c r="AX521"/>
  <c r="BP521" s="1"/>
  <c r="AV521"/>
  <c r="BN521" s="1"/>
  <c r="AT521"/>
  <c r="BL521" s="1"/>
  <c r="AS521"/>
  <c r="AR521"/>
  <c r="BA521" s="1"/>
  <c r="AQ521"/>
  <c r="AP521"/>
  <c r="AY521" s="1"/>
  <c r="BQ521" s="1"/>
  <c r="AO521"/>
  <c r="AN521"/>
  <c r="AW521" s="1"/>
  <c r="BO521" s="1"/>
  <c r="AM521"/>
  <c r="AL521"/>
  <c r="AU521" s="1"/>
  <c r="BM521" s="1"/>
  <c r="AK521"/>
  <c r="AH521"/>
  <c r="AG521"/>
  <c r="AF521"/>
  <c r="BB521" s="1"/>
  <c r="BS521" s="1"/>
  <c r="K521"/>
  <c r="J521"/>
  <c r="L521" s="1"/>
  <c r="O520"/>
  <c r="N520"/>
  <c r="BK518"/>
  <c r="BJ518"/>
  <c r="BI518"/>
  <c r="BH518"/>
  <c r="BG518"/>
  <c r="BF518"/>
  <c r="BE518"/>
  <c r="BD518"/>
  <c r="BC518"/>
  <c r="AS518"/>
  <c r="BB518" s="1"/>
  <c r="BS518" s="1"/>
  <c r="AR518"/>
  <c r="BA518" s="1"/>
  <c r="AQ518"/>
  <c r="AZ518" s="1"/>
  <c r="BR518" s="1"/>
  <c r="AP518"/>
  <c r="AY518" s="1"/>
  <c r="BQ518" s="1"/>
  <c r="AO518"/>
  <c r="AX518" s="1"/>
  <c r="BP518" s="1"/>
  <c r="AN518"/>
  <c r="AW518" s="1"/>
  <c r="BO518" s="1"/>
  <c r="AM518"/>
  <c r="AV518" s="1"/>
  <c r="BN518" s="1"/>
  <c r="AL518"/>
  <c r="AU518" s="1"/>
  <c r="BM518" s="1"/>
  <c r="AK518"/>
  <c r="AT518" s="1"/>
  <c r="BL518" s="1"/>
  <c r="AH518"/>
  <c r="AG518"/>
  <c r="AF518"/>
  <c r="J518"/>
  <c r="L518" s="1"/>
  <c r="BK517"/>
  <c r="BJ517"/>
  <c r="BI517"/>
  <c r="BH517"/>
  <c r="BG517"/>
  <c r="BF517"/>
  <c r="BE517"/>
  <c r="BD517"/>
  <c r="BC517"/>
  <c r="AS517"/>
  <c r="BB517" s="1"/>
  <c r="BS517" s="1"/>
  <c r="AR517"/>
  <c r="BA517" s="1"/>
  <c r="AQ517"/>
  <c r="AZ517" s="1"/>
  <c r="BR517" s="1"/>
  <c r="AP517"/>
  <c r="AY517" s="1"/>
  <c r="BQ517" s="1"/>
  <c r="AO517"/>
  <c r="AX517" s="1"/>
  <c r="BP517" s="1"/>
  <c r="AN517"/>
  <c r="AW517" s="1"/>
  <c r="BO517" s="1"/>
  <c r="AM517"/>
  <c r="AV517" s="1"/>
  <c r="BN517" s="1"/>
  <c r="AL517"/>
  <c r="AU517" s="1"/>
  <c r="BM517" s="1"/>
  <c r="AK517"/>
  <c r="AT517" s="1"/>
  <c r="BL517" s="1"/>
  <c r="AH517"/>
  <c r="AG517"/>
  <c r="AF517"/>
  <c r="J517"/>
  <c r="L517" s="1"/>
  <c r="BK516"/>
  <c r="BJ516"/>
  <c r="BI516"/>
  <c r="BH516"/>
  <c r="BG516"/>
  <c r="BF516"/>
  <c r="BE516"/>
  <c r="BD516"/>
  <c r="BC516"/>
  <c r="AS516"/>
  <c r="BB516" s="1"/>
  <c r="BS516" s="1"/>
  <c r="AR516"/>
  <c r="BA516" s="1"/>
  <c r="AQ516"/>
  <c r="AZ516" s="1"/>
  <c r="BR516" s="1"/>
  <c r="AP516"/>
  <c r="AY516" s="1"/>
  <c r="BQ516" s="1"/>
  <c r="AO516"/>
  <c r="AX516" s="1"/>
  <c r="BP516" s="1"/>
  <c r="AN516"/>
  <c r="AW516" s="1"/>
  <c r="BO516" s="1"/>
  <c r="AM516"/>
  <c r="AV516" s="1"/>
  <c r="BN516" s="1"/>
  <c r="AL516"/>
  <c r="AU516" s="1"/>
  <c r="BM516" s="1"/>
  <c r="AK516"/>
  <c r="AT516" s="1"/>
  <c r="BL516" s="1"/>
  <c r="AH516"/>
  <c r="AG516"/>
  <c r="AF516"/>
  <c r="J516"/>
  <c r="L516" s="1"/>
  <c r="BK515"/>
  <c r="BJ515"/>
  <c r="BI515"/>
  <c r="BH515"/>
  <c r="BG515"/>
  <c r="BF515"/>
  <c r="BE515"/>
  <c r="BD515"/>
  <c r="BC515"/>
  <c r="AS515"/>
  <c r="BB515" s="1"/>
  <c r="BS515" s="1"/>
  <c r="AR515"/>
  <c r="BA515" s="1"/>
  <c r="AQ515"/>
  <c r="AZ515" s="1"/>
  <c r="BR515" s="1"/>
  <c r="AP515"/>
  <c r="AY515" s="1"/>
  <c r="BQ515" s="1"/>
  <c r="AO515"/>
  <c r="AX515" s="1"/>
  <c r="BP515" s="1"/>
  <c r="AN515"/>
  <c r="AW515" s="1"/>
  <c r="BO515" s="1"/>
  <c r="AM515"/>
  <c r="AV515" s="1"/>
  <c r="BN515" s="1"/>
  <c r="AL515"/>
  <c r="AU515" s="1"/>
  <c r="BM515" s="1"/>
  <c r="AK515"/>
  <c r="AT515" s="1"/>
  <c r="BL515" s="1"/>
  <c r="AH515"/>
  <c r="AG515"/>
  <c r="AF515"/>
  <c r="J515"/>
  <c r="L515" s="1"/>
  <c r="BK514"/>
  <c r="BJ514"/>
  <c r="BI514"/>
  <c r="BH514"/>
  <c r="BG514"/>
  <c r="BF514"/>
  <c r="BE514"/>
  <c r="BD514"/>
  <c r="BC514"/>
  <c r="AS514"/>
  <c r="BB514" s="1"/>
  <c r="BS514" s="1"/>
  <c r="AR514"/>
  <c r="BA514" s="1"/>
  <c r="AQ514"/>
  <c r="AZ514" s="1"/>
  <c r="BR514" s="1"/>
  <c r="AP514"/>
  <c r="AY514" s="1"/>
  <c r="BQ514" s="1"/>
  <c r="AO514"/>
  <c r="AX514" s="1"/>
  <c r="BP514" s="1"/>
  <c r="AN514"/>
  <c r="AW514" s="1"/>
  <c r="BO514" s="1"/>
  <c r="AM514"/>
  <c r="AV514" s="1"/>
  <c r="BN514" s="1"/>
  <c r="AL514"/>
  <c r="AU514" s="1"/>
  <c r="BM514" s="1"/>
  <c r="AK514"/>
  <c r="AT514" s="1"/>
  <c r="BL514" s="1"/>
  <c r="AH514"/>
  <c r="AG514"/>
  <c r="AF514"/>
  <c r="J514"/>
  <c r="L514" s="1"/>
  <c r="L533" s="1"/>
  <c r="O513"/>
  <c r="N513"/>
  <c r="N512"/>
  <c r="BK505"/>
  <c r="BJ505"/>
  <c r="BI505"/>
  <c r="BH505"/>
  <c r="BG505"/>
  <c r="BF505"/>
  <c r="BE505"/>
  <c r="BD505"/>
  <c r="BC505"/>
  <c r="AS505"/>
  <c r="BB505" s="1"/>
  <c r="BS505" s="1"/>
  <c r="AR505"/>
  <c r="BA505" s="1"/>
  <c r="AQ505"/>
  <c r="AZ505" s="1"/>
  <c r="BR505" s="1"/>
  <c r="AP505"/>
  <c r="AY505" s="1"/>
  <c r="BQ505" s="1"/>
  <c r="AO505"/>
  <c r="AX505" s="1"/>
  <c r="BP505" s="1"/>
  <c r="AN505"/>
  <c r="AW505" s="1"/>
  <c r="BO505" s="1"/>
  <c r="AM505"/>
  <c r="AV505" s="1"/>
  <c r="BN505" s="1"/>
  <c r="AL505"/>
  <c r="AU505" s="1"/>
  <c r="BM505" s="1"/>
  <c r="AK505"/>
  <c r="AT505" s="1"/>
  <c r="BL505" s="1"/>
  <c r="AH505"/>
  <c r="AG505"/>
  <c r="AF505"/>
  <c r="J505"/>
  <c r="K505" s="1"/>
  <c r="BT505" s="1"/>
  <c r="BK504"/>
  <c r="BJ504"/>
  <c r="BI504"/>
  <c r="BH504"/>
  <c r="BG504"/>
  <c r="BF504"/>
  <c r="BE504"/>
  <c r="BD504"/>
  <c r="BC504"/>
  <c r="AS504"/>
  <c r="BB504" s="1"/>
  <c r="BS504" s="1"/>
  <c r="AR504"/>
  <c r="BA504" s="1"/>
  <c r="AQ504"/>
  <c r="AZ504" s="1"/>
  <c r="BR504" s="1"/>
  <c r="AP504"/>
  <c r="AY504" s="1"/>
  <c r="BQ504" s="1"/>
  <c r="AO504"/>
  <c r="AX504" s="1"/>
  <c r="BP504" s="1"/>
  <c r="AN504"/>
  <c r="AW504" s="1"/>
  <c r="BO504" s="1"/>
  <c r="AM504"/>
  <c r="AV504" s="1"/>
  <c r="BN504" s="1"/>
  <c r="AL504"/>
  <c r="AU504" s="1"/>
  <c r="BM504" s="1"/>
  <c r="AK504"/>
  <c r="AT504" s="1"/>
  <c r="BL504" s="1"/>
  <c r="AH504"/>
  <c r="AG504"/>
  <c r="AF504"/>
  <c r="J504"/>
  <c r="K504" s="1"/>
  <c r="BT504" s="1"/>
  <c r="BK503"/>
  <c r="BJ503"/>
  <c r="BI503"/>
  <c r="BH503"/>
  <c r="BG503"/>
  <c r="BF503"/>
  <c r="BE503"/>
  <c r="BD503"/>
  <c r="BC503"/>
  <c r="AS503"/>
  <c r="BB503" s="1"/>
  <c r="BS503" s="1"/>
  <c r="AR503"/>
  <c r="BA503" s="1"/>
  <c r="AQ503"/>
  <c r="AZ503" s="1"/>
  <c r="BR503" s="1"/>
  <c r="AP503"/>
  <c r="AY503" s="1"/>
  <c r="BQ503" s="1"/>
  <c r="AO503"/>
  <c r="AX503" s="1"/>
  <c r="BP503" s="1"/>
  <c r="AN503"/>
  <c r="AW503" s="1"/>
  <c r="BO503" s="1"/>
  <c r="AM503"/>
  <c r="AV503" s="1"/>
  <c r="BN503" s="1"/>
  <c r="AL503"/>
  <c r="AU503" s="1"/>
  <c r="BM503" s="1"/>
  <c r="AK503"/>
  <c r="AT503" s="1"/>
  <c r="BL503" s="1"/>
  <c r="AH503"/>
  <c r="AG503"/>
  <c r="AF503"/>
  <c r="J503"/>
  <c r="K503" s="1"/>
  <c r="BT503" s="1"/>
  <c r="BK502"/>
  <c r="BJ502"/>
  <c r="BI502"/>
  <c r="BH502"/>
  <c r="BG502"/>
  <c r="BF502"/>
  <c r="BE502"/>
  <c r="BD502"/>
  <c r="BC502"/>
  <c r="AS502"/>
  <c r="BB502" s="1"/>
  <c r="BS502" s="1"/>
  <c r="AR502"/>
  <c r="BA502" s="1"/>
  <c r="AQ502"/>
  <c r="AZ502" s="1"/>
  <c r="BR502" s="1"/>
  <c r="AP502"/>
  <c r="AY502" s="1"/>
  <c r="BQ502" s="1"/>
  <c r="AO502"/>
  <c r="AX502" s="1"/>
  <c r="BP502" s="1"/>
  <c r="AN502"/>
  <c r="AW502" s="1"/>
  <c r="BO502" s="1"/>
  <c r="AM502"/>
  <c r="AV502" s="1"/>
  <c r="BN502" s="1"/>
  <c r="AL502"/>
  <c r="AU502" s="1"/>
  <c r="BM502" s="1"/>
  <c r="AK502"/>
  <c r="AT502" s="1"/>
  <c r="BL502" s="1"/>
  <c r="AH502"/>
  <c r="AG502"/>
  <c r="AF502"/>
  <c r="J502"/>
  <c r="K502" s="1"/>
  <c r="BT502" s="1"/>
  <c r="BK500"/>
  <c r="BJ500"/>
  <c r="BI500"/>
  <c r="BH500"/>
  <c r="BG500"/>
  <c r="BF500"/>
  <c r="BE500"/>
  <c r="BD500"/>
  <c r="BC500"/>
  <c r="AS500"/>
  <c r="BB500" s="1"/>
  <c r="BS500" s="1"/>
  <c r="AR500"/>
  <c r="BA500" s="1"/>
  <c r="AQ500"/>
  <c r="AZ500" s="1"/>
  <c r="BR500" s="1"/>
  <c r="AP500"/>
  <c r="AY500" s="1"/>
  <c r="BQ500" s="1"/>
  <c r="AO500"/>
  <c r="AX500" s="1"/>
  <c r="BP500" s="1"/>
  <c r="AN500"/>
  <c r="AW500" s="1"/>
  <c r="BO500" s="1"/>
  <c r="AM500"/>
  <c r="AV500" s="1"/>
  <c r="BN500" s="1"/>
  <c r="AL500"/>
  <c r="AU500" s="1"/>
  <c r="BM500" s="1"/>
  <c r="AK500"/>
  <c r="AT500" s="1"/>
  <c r="BL500" s="1"/>
  <c r="AH500"/>
  <c r="AG500"/>
  <c r="AF500"/>
  <c r="J500"/>
  <c r="K500" s="1"/>
  <c r="BT500" s="1"/>
  <c r="BK499"/>
  <c r="BJ499"/>
  <c r="BI499"/>
  <c r="BH499"/>
  <c r="BG499"/>
  <c r="BF499"/>
  <c r="BE499"/>
  <c r="BD499"/>
  <c r="BC499"/>
  <c r="AS499"/>
  <c r="BB499" s="1"/>
  <c r="BS499" s="1"/>
  <c r="AR499"/>
  <c r="BA499" s="1"/>
  <c r="AQ499"/>
  <c r="AZ499" s="1"/>
  <c r="BR499" s="1"/>
  <c r="AP499"/>
  <c r="AY499" s="1"/>
  <c r="BQ499" s="1"/>
  <c r="AO499"/>
  <c r="AX499" s="1"/>
  <c r="BP499" s="1"/>
  <c r="AN499"/>
  <c r="AW499" s="1"/>
  <c r="BO499" s="1"/>
  <c r="AM499"/>
  <c r="AV499" s="1"/>
  <c r="BN499" s="1"/>
  <c r="AL499"/>
  <c r="AU499" s="1"/>
  <c r="BM499" s="1"/>
  <c r="AK499"/>
  <c r="AT499" s="1"/>
  <c r="BL499" s="1"/>
  <c r="AH499"/>
  <c r="AG499"/>
  <c r="AF499"/>
  <c r="J499"/>
  <c r="K499" s="1"/>
  <c r="BT499" s="1"/>
  <c r="BK498"/>
  <c r="BJ498"/>
  <c r="BI498"/>
  <c r="BH498"/>
  <c r="BG498"/>
  <c r="BF498"/>
  <c r="BE498"/>
  <c r="BD498"/>
  <c r="BC498"/>
  <c r="AS498"/>
  <c r="BB498" s="1"/>
  <c r="BS498" s="1"/>
  <c r="AR498"/>
  <c r="BA498" s="1"/>
  <c r="AQ498"/>
  <c r="AZ498" s="1"/>
  <c r="BR498" s="1"/>
  <c r="AP498"/>
  <c r="AY498" s="1"/>
  <c r="BQ498" s="1"/>
  <c r="AO498"/>
  <c r="AX498" s="1"/>
  <c r="BP498" s="1"/>
  <c r="AN498"/>
  <c r="AW498" s="1"/>
  <c r="BO498" s="1"/>
  <c r="AM498"/>
  <c r="AV498" s="1"/>
  <c r="BN498" s="1"/>
  <c r="AL498"/>
  <c r="AU498" s="1"/>
  <c r="BM498" s="1"/>
  <c r="AK498"/>
  <c r="AT498" s="1"/>
  <c r="BL498" s="1"/>
  <c r="AH498"/>
  <c r="AG498"/>
  <c r="AF498"/>
  <c r="J498"/>
  <c r="K498" s="1"/>
  <c r="BT498" s="1"/>
  <c r="BK497"/>
  <c r="BJ497"/>
  <c r="BI497"/>
  <c r="BH497"/>
  <c r="BG497"/>
  <c r="BF497"/>
  <c r="BE497"/>
  <c r="BD497"/>
  <c r="BC497"/>
  <c r="AS497"/>
  <c r="BB497" s="1"/>
  <c r="BS497" s="1"/>
  <c r="AR497"/>
  <c r="BA497" s="1"/>
  <c r="AQ497"/>
  <c r="AZ497" s="1"/>
  <c r="BR497" s="1"/>
  <c r="AP497"/>
  <c r="AY497" s="1"/>
  <c r="BQ497" s="1"/>
  <c r="AO497"/>
  <c r="AX497" s="1"/>
  <c r="BP497" s="1"/>
  <c r="AN497"/>
  <c r="AW497" s="1"/>
  <c r="BO497" s="1"/>
  <c r="AM497"/>
  <c r="AV497" s="1"/>
  <c r="BN497" s="1"/>
  <c r="AL497"/>
  <c r="AU497" s="1"/>
  <c r="BM497" s="1"/>
  <c r="AK497"/>
  <c r="AT497" s="1"/>
  <c r="BL497" s="1"/>
  <c r="AH497"/>
  <c r="AG497"/>
  <c r="AF497"/>
  <c r="J497"/>
  <c r="K497" s="1"/>
  <c r="BT497" s="1"/>
  <c r="BK496"/>
  <c r="BJ496"/>
  <c r="BI496"/>
  <c r="BH496"/>
  <c r="BG496"/>
  <c r="BF496"/>
  <c r="BE496"/>
  <c r="BD496"/>
  <c r="BC496"/>
  <c r="AS496"/>
  <c r="BB496" s="1"/>
  <c r="BS496" s="1"/>
  <c r="AR496"/>
  <c r="BA496" s="1"/>
  <c r="AQ496"/>
  <c r="AZ496" s="1"/>
  <c r="BR496" s="1"/>
  <c r="AP496"/>
  <c r="AY496" s="1"/>
  <c r="BQ496" s="1"/>
  <c r="AO496"/>
  <c r="AX496" s="1"/>
  <c r="BP496" s="1"/>
  <c r="AN496"/>
  <c r="AW496" s="1"/>
  <c r="BO496" s="1"/>
  <c r="AM496"/>
  <c r="AV496" s="1"/>
  <c r="BN496" s="1"/>
  <c r="AL496"/>
  <c r="AU496" s="1"/>
  <c r="BM496" s="1"/>
  <c r="AK496"/>
  <c r="AT496" s="1"/>
  <c r="BL496" s="1"/>
  <c r="AH496"/>
  <c r="AG496"/>
  <c r="AF496"/>
  <c r="J496"/>
  <c r="K496" s="1"/>
  <c r="BT496" s="1"/>
  <c r="BK495"/>
  <c r="BJ495"/>
  <c r="BI495"/>
  <c r="BH495"/>
  <c r="BG495"/>
  <c r="BF495"/>
  <c r="BE495"/>
  <c r="BD495"/>
  <c r="BC495"/>
  <c r="AS495"/>
  <c r="AR495"/>
  <c r="AQ495"/>
  <c r="AP495"/>
  <c r="AY495" s="1"/>
  <c r="BQ495" s="1"/>
  <c r="AO495"/>
  <c r="AX495" s="1"/>
  <c r="BP495" s="1"/>
  <c r="AN495"/>
  <c r="AW495" s="1"/>
  <c r="BO495" s="1"/>
  <c r="AM495"/>
  <c r="AV495" s="1"/>
  <c r="BN495" s="1"/>
  <c r="AL495"/>
  <c r="AU495" s="1"/>
  <c r="BM495" s="1"/>
  <c r="AK495"/>
  <c r="AT495" s="1"/>
  <c r="BL495" s="1"/>
  <c r="AH495"/>
  <c r="AG495"/>
  <c r="AF495"/>
  <c r="L495"/>
  <c r="J495"/>
  <c r="K495" s="1"/>
  <c r="BK494"/>
  <c r="BJ494"/>
  <c r="BI494"/>
  <c r="BH494"/>
  <c r="BG494"/>
  <c r="BF494"/>
  <c r="BE494"/>
  <c r="BD494"/>
  <c r="BC494"/>
  <c r="AX494"/>
  <c r="BP494" s="1"/>
  <c r="AV494"/>
  <c r="BN494" s="1"/>
  <c r="AT494"/>
  <c r="BL494" s="1"/>
  <c r="AS494"/>
  <c r="AR494"/>
  <c r="BA494" s="1"/>
  <c r="AQ494"/>
  <c r="AP494"/>
  <c r="AY494" s="1"/>
  <c r="BQ494" s="1"/>
  <c r="AO494"/>
  <c r="AN494"/>
  <c r="AW494" s="1"/>
  <c r="BO494" s="1"/>
  <c r="AM494"/>
  <c r="AL494"/>
  <c r="AU494" s="1"/>
  <c r="BM494" s="1"/>
  <c r="AK494"/>
  <c r="AH494"/>
  <c r="AG494"/>
  <c r="AF494"/>
  <c r="BB494" s="1"/>
  <c r="BS494" s="1"/>
  <c r="K494"/>
  <c r="J494"/>
  <c r="L494" s="1"/>
  <c r="O493"/>
  <c r="N493"/>
  <c r="BK491"/>
  <c r="BJ491"/>
  <c r="BI491"/>
  <c r="BH491"/>
  <c r="BG491"/>
  <c r="BF491"/>
  <c r="BE491"/>
  <c r="BD491"/>
  <c r="BC491"/>
  <c r="AX491"/>
  <c r="BP491" s="1"/>
  <c r="AV491"/>
  <c r="BN491" s="1"/>
  <c r="AT491"/>
  <c r="BL491" s="1"/>
  <c r="AS491"/>
  <c r="AR491"/>
  <c r="BA491" s="1"/>
  <c r="AQ491"/>
  <c r="AP491"/>
  <c r="AY491" s="1"/>
  <c r="BQ491" s="1"/>
  <c r="AO491"/>
  <c r="AN491"/>
  <c r="AW491" s="1"/>
  <c r="BO491" s="1"/>
  <c r="AM491"/>
  <c r="AL491"/>
  <c r="AU491" s="1"/>
  <c r="BM491" s="1"/>
  <c r="AK491"/>
  <c r="AH491"/>
  <c r="AG491"/>
  <c r="AF491"/>
  <c r="BB491" s="1"/>
  <c r="BS491" s="1"/>
  <c r="K491"/>
  <c r="J491"/>
  <c r="L491" s="1"/>
  <c r="BK490"/>
  <c r="BJ490"/>
  <c r="BI490"/>
  <c r="BH490"/>
  <c r="BG490"/>
  <c r="BF490"/>
  <c r="BE490"/>
  <c r="BD490"/>
  <c r="BC490"/>
  <c r="AX490"/>
  <c r="BP490" s="1"/>
  <c r="AV490"/>
  <c r="BN490" s="1"/>
  <c r="AT490"/>
  <c r="BL490" s="1"/>
  <c r="AS490"/>
  <c r="AR490"/>
  <c r="BA490" s="1"/>
  <c r="AQ490"/>
  <c r="AP490"/>
  <c r="AY490" s="1"/>
  <c r="BQ490" s="1"/>
  <c r="AO490"/>
  <c r="AN490"/>
  <c r="AW490" s="1"/>
  <c r="BO490" s="1"/>
  <c r="AM490"/>
  <c r="AL490"/>
  <c r="AU490" s="1"/>
  <c r="BM490" s="1"/>
  <c r="AK490"/>
  <c r="AH490"/>
  <c r="AG490"/>
  <c r="AF490"/>
  <c r="BB490" s="1"/>
  <c r="BS490" s="1"/>
  <c r="K490"/>
  <c r="J490"/>
  <c r="L490" s="1"/>
  <c r="BK489"/>
  <c r="BJ489"/>
  <c r="BI489"/>
  <c r="BH489"/>
  <c r="BG489"/>
  <c r="BF489"/>
  <c r="BE489"/>
  <c r="BD489"/>
  <c r="BC489"/>
  <c r="AX489"/>
  <c r="BP489" s="1"/>
  <c r="AV489"/>
  <c r="BN489" s="1"/>
  <c r="AT489"/>
  <c r="BL489" s="1"/>
  <c r="AS489"/>
  <c r="AR489"/>
  <c r="BA489" s="1"/>
  <c r="AQ489"/>
  <c r="AP489"/>
  <c r="AY489" s="1"/>
  <c r="BQ489" s="1"/>
  <c r="AO489"/>
  <c r="AN489"/>
  <c r="AW489" s="1"/>
  <c r="BO489" s="1"/>
  <c r="AM489"/>
  <c r="AL489"/>
  <c r="AU489" s="1"/>
  <c r="BM489" s="1"/>
  <c r="AK489"/>
  <c r="AH489"/>
  <c r="AG489"/>
  <c r="AF489"/>
  <c r="BB489" s="1"/>
  <c r="BS489" s="1"/>
  <c r="K489"/>
  <c r="J489"/>
  <c r="L489" s="1"/>
  <c r="BK488"/>
  <c r="BJ488"/>
  <c r="BI488"/>
  <c r="BH488"/>
  <c r="BG488"/>
  <c r="BF488"/>
  <c r="BE488"/>
  <c r="BD488"/>
  <c r="BC488"/>
  <c r="AX488"/>
  <c r="BP488" s="1"/>
  <c r="AV488"/>
  <c r="BN488" s="1"/>
  <c r="AT488"/>
  <c r="BL488" s="1"/>
  <c r="AS488"/>
  <c r="AR488"/>
  <c r="BA488" s="1"/>
  <c r="AQ488"/>
  <c r="AP488"/>
  <c r="AY488" s="1"/>
  <c r="BQ488" s="1"/>
  <c r="AO488"/>
  <c r="AN488"/>
  <c r="AW488" s="1"/>
  <c r="BO488" s="1"/>
  <c r="AM488"/>
  <c r="AL488"/>
  <c r="AU488" s="1"/>
  <c r="BM488" s="1"/>
  <c r="AK488"/>
  <c r="AH488"/>
  <c r="AG488"/>
  <c r="AF488"/>
  <c r="BB488" s="1"/>
  <c r="BS488" s="1"/>
  <c r="K488"/>
  <c r="J488"/>
  <c r="L488" s="1"/>
  <c r="BK487"/>
  <c r="BJ487"/>
  <c r="BI487"/>
  <c r="BH487"/>
  <c r="BG487"/>
  <c r="BF487"/>
  <c r="BE487"/>
  <c r="BD487"/>
  <c r="BC487"/>
  <c r="AX487"/>
  <c r="BP487" s="1"/>
  <c r="AV487"/>
  <c r="BN487" s="1"/>
  <c r="AT487"/>
  <c r="BL487" s="1"/>
  <c r="AS487"/>
  <c r="AR487"/>
  <c r="BA487" s="1"/>
  <c r="AQ487"/>
  <c r="AP487"/>
  <c r="AY487" s="1"/>
  <c r="BQ487" s="1"/>
  <c r="AO487"/>
  <c r="AN487"/>
  <c r="AW487" s="1"/>
  <c r="BO487" s="1"/>
  <c r="AM487"/>
  <c r="AL487"/>
  <c r="AU487" s="1"/>
  <c r="BM487" s="1"/>
  <c r="AK487"/>
  <c r="AH487"/>
  <c r="AG487"/>
  <c r="AF487"/>
  <c r="BB487" s="1"/>
  <c r="BS487" s="1"/>
  <c r="K487"/>
  <c r="K506" s="1"/>
  <c r="J487"/>
  <c r="L487" s="1"/>
  <c r="O486"/>
  <c r="N486"/>
  <c r="N485"/>
  <c r="BK478"/>
  <c r="BJ478"/>
  <c r="BI478"/>
  <c r="BH478"/>
  <c r="BG478"/>
  <c r="BF478"/>
  <c r="BE478"/>
  <c r="BD478"/>
  <c r="BC478"/>
  <c r="AY478"/>
  <c r="BQ478" s="1"/>
  <c r="AW478"/>
  <c r="BO478" s="1"/>
  <c r="AU478"/>
  <c r="BM478" s="1"/>
  <c r="AS478"/>
  <c r="BB478" s="1"/>
  <c r="BS478" s="1"/>
  <c r="AR478"/>
  <c r="AQ478"/>
  <c r="AZ478" s="1"/>
  <c r="BR478" s="1"/>
  <c r="AP478"/>
  <c r="AO478"/>
  <c r="AX478" s="1"/>
  <c r="BP478" s="1"/>
  <c r="AN478"/>
  <c r="AM478"/>
  <c r="AV478" s="1"/>
  <c r="BN478" s="1"/>
  <c r="AL478"/>
  <c r="AK478"/>
  <c r="AT478" s="1"/>
  <c r="BL478" s="1"/>
  <c r="AH478"/>
  <c r="AG478"/>
  <c r="BA478" s="1"/>
  <c r="AF478"/>
  <c r="J478"/>
  <c r="K478" s="1"/>
  <c r="BT478" s="1"/>
  <c r="BK477"/>
  <c r="BJ477"/>
  <c r="BI477"/>
  <c r="BH477"/>
  <c r="BG477"/>
  <c r="BF477"/>
  <c r="BE477"/>
  <c r="BD477"/>
  <c r="BC477"/>
  <c r="AY477"/>
  <c r="BQ477" s="1"/>
  <c r="AW477"/>
  <c r="BO477" s="1"/>
  <c r="AU477"/>
  <c r="BM477" s="1"/>
  <c r="AS477"/>
  <c r="BB477" s="1"/>
  <c r="BS477" s="1"/>
  <c r="AR477"/>
  <c r="AQ477"/>
  <c r="AZ477" s="1"/>
  <c r="BR477" s="1"/>
  <c r="AP477"/>
  <c r="AO477"/>
  <c r="AX477" s="1"/>
  <c r="BP477" s="1"/>
  <c r="AN477"/>
  <c r="AM477"/>
  <c r="AV477" s="1"/>
  <c r="BN477" s="1"/>
  <c r="AL477"/>
  <c r="AK477"/>
  <c r="AT477" s="1"/>
  <c r="BL477" s="1"/>
  <c r="AH477"/>
  <c r="AG477"/>
  <c r="BA477" s="1"/>
  <c r="AF477"/>
  <c r="J477"/>
  <c r="K477" s="1"/>
  <c r="BK476"/>
  <c r="BJ476"/>
  <c r="BI476"/>
  <c r="BH476"/>
  <c r="BG476"/>
  <c r="BF476"/>
  <c r="BE476"/>
  <c r="BD476"/>
  <c r="BC476"/>
  <c r="AY476"/>
  <c r="BQ476" s="1"/>
  <c r="AW476"/>
  <c r="BO476" s="1"/>
  <c r="AU476"/>
  <c r="BM476" s="1"/>
  <c r="AS476"/>
  <c r="BB476" s="1"/>
  <c r="BS476" s="1"/>
  <c r="AR476"/>
  <c r="AQ476"/>
  <c r="AZ476" s="1"/>
  <c r="BR476" s="1"/>
  <c r="AP476"/>
  <c r="AO476"/>
  <c r="AX476" s="1"/>
  <c r="BP476" s="1"/>
  <c r="AN476"/>
  <c r="AM476"/>
  <c r="AV476" s="1"/>
  <c r="BN476" s="1"/>
  <c r="AL476"/>
  <c r="AK476"/>
  <c r="AT476" s="1"/>
  <c r="BL476" s="1"/>
  <c r="AH476"/>
  <c r="AG476"/>
  <c r="BA476" s="1"/>
  <c r="AF476"/>
  <c r="J476"/>
  <c r="K476" s="1"/>
  <c r="BT476" s="1"/>
  <c r="BK475"/>
  <c r="BJ475"/>
  <c r="BI475"/>
  <c r="BH475"/>
  <c r="BG475"/>
  <c r="BF475"/>
  <c r="BE475"/>
  <c r="BD475"/>
  <c r="BC475"/>
  <c r="AY475"/>
  <c r="BQ475" s="1"/>
  <c r="AW475"/>
  <c r="BO475" s="1"/>
  <c r="AU475"/>
  <c r="BM475" s="1"/>
  <c r="AS475"/>
  <c r="BB475" s="1"/>
  <c r="BS475" s="1"/>
  <c r="AR475"/>
  <c r="AQ475"/>
  <c r="AZ475" s="1"/>
  <c r="BR475" s="1"/>
  <c r="AP475"/>
  <c r="AO475"/>
  <c r="AX475" s="1"/>
  <c r="BP475" s="1"/>
  <c r="AN475"/>
  <c r="AM475"/>
  <c r="AV475" s="1"/>
  <c r="BN475" s="1"/>
  <c r="AL475"/>
  <c r="AK475"/>
  <c r="AT475" s="1"/>
  <c r="BL475" s="1"/>
  <c r="AH475"/>
  <c r="AG475"/>
  <c r="BA475" s="1"/>
  <c r="AF475"/>
  <c r="J475"/>
  <c r="K475" s="1"/>
  <c r="BK473"/>
  <c r="BJ473"/>
  <c r="BI473"/>
  <c r="BH473"/>
  <c r="BG473"/>
  <c r="BF473"/>
  <c r="BE473"/>
  <c r="BD473"/>
  <c r="BC473"/>
  <c r="AY473"/>
  <c r="BQ473" s="1"/>
  <c r="AW473"/>
  <c r="BO473" s="1"/>
  <c r="AU473"/>
  <c r="BM473" s="1"/>
  <c r="AS473"/>
  <c r="BB473" s="1"/>
  <c r="BS473" s="1"/>
  <c r="AR473"/>
  <c r="AQ473"/>
  <c r="AZ473" s="1"/>
  <c r="BR473" s="1"/>
  <c r="AP473"/>
  <c r="AO473"/>
  <c r="AX473" s="1"/>
  <c r="BP473" s="1"/>
  <c r="AN473"/>
  <c r="AM473"/>
  <c r="AV473" s="1"/>
  <c r="BN473" s="1"/>
  <c r="AL473"/>
  <c r="AK473"/>
  <c r="AT473" s="1"/>
  <c r="BL473" s="1"/>
  <c r="AH473"/>
  <c r="AG473"/>
  <c r="BA473" s="1"/>
  <c r="AF473"/>
  <c r="J473"/>
  <c r="K473" s="1"/>
  <c r="BT473" s="1"/>
  <c r="BK472"/>
  <c r="BJ472"/>
  <c r="BI472"/>
  <c r="BH472"/>
  <c r="BG472"/>
  <c r="BF472"/>
  <c r="BE472"/>
  <c r="BD472"/>
  <c r="BC472"/>
  <c r="AY472"/>
  <c r="BQ472" s="1"/>
  <c r="AW472"/>
  <c r="BO472" s="1"/>
  <c r="AU472"/>
  <c r="BM472" s="1"/>
  <c r="AS472"/>
  <c r="BB472" s="1"/>
  <c r="BS472" s="1"/>
  <c r="AR472"/>
  <c r="AQ472"/>
  <c r="AZ472" s="1"/>
  <c r="BR472" s="1"/>
  <c r="AP472"/>
  <c r="AO472"/>
  <c r="AX472" s="1"/>
  <c r="BP472" s="1"/>
  <c r="AN472"/>
  <c r="AM472"/>
  <c r="AV472" s="1"/>
  <c r="BN472" s="1"/>
  <c r="AL472"/>
  <c r="AK472"/>
  <c r="AT472" s="1"/>
  <c r="BL472" s="1"/>
  <c r="AH472"/>
  <c r="AG472"/>
  <c r="BA472" s="1"/>
  <c r="AF472"/>
  <c r="J472"/>
  <c r="K472" s="1"/>
  <c r="BK471"/>
  <c r="BJ471"/>
  <c r="BI471"/>
  <c r="BH471"/>
  <c r="BG471"/>
  <c r="BF471"/>
  <c r="BE471"/>
  <c r="BD471"/>
  <c r="BC471"/>
  <c r="AY471"/>
  <c r="BQ471" s="1"/>
  <c r="AW471"/>
  <c r="BO471" s="1"/>
  <c r="AU471"/>
  <c r="BM471" s="1"/>
  <c r="AS471"/>
  <c r="BB471" s="1"/>
  <c r="BS471" s="1"/>
  <c r="AR471"/>
  <c r="AQ471"/>
  <c r="AZ471" s="1"/>
  <c r="BR471" s="1"/>
  <c r="AP471"/>
  <c r="AO471"/>
  <c r="AX471" s="1"/>
  <c r="BP471" s="1"/>
  <c r="AN471"/>
  <c r="AM471"/>
  <c r="AV471" s="1"/>
  <c r="BN471" s="1"/>
  <c r="AL471"/>
  <c r="AK471"/>
  <c r="AT471" s="1"/>
  <c r="BL471" s="1"/>
  <c r="AH471"/>
  <c r="AG471"/>
  <c r="BA471" s="1"/>
  <c r="AF471"/>
  <c r="J471"/>
  <c r="K471" s="1"/>
  <c r="BT471" s="1"/>
  <c r="BK470"/>
  <c r="BJ470"/>
  <c r="BI470"/>
  <c r="BH470"/>
  <c r="BG470"/>
  <c r="BF470"/>
  <c r="BE470"/>
  <c r="BD470"/>
  <c r="BC470"/>
  <c r="AY470"/>
  <c r="BQ470" s="1"/>
  <c r="AW470"/>
  <c r="BO470" s="1"/>
  <c r="AU470"/>
  <c r="BM470" s="1"/>
  <c r="AS470"/>
  <c r="BB470" s="1"/>
  <c r="BS470" s="1"/>
  <c r="AR470"/>
  <c r="AQ470"/>
  <c r="AZ470" s="1"/>
  <c r="BR470" s="1"/>
  <c r="AP470"/>
  <c r="AO470"/>
  <c r="AX470" s="1"/>
  <c r="BP470" s="1"/>
  <c r="AN470"/>
  <c r="AM470"/>
  <c r="AV470" s="1"/>
  <c r="BN470" s="1"/>
  <c r="AL470"/>
  <c r="AK470"/>
  <c r="AT470" s="1"/>
  <c r="BL470" s="1"/>
  <c r="AH470"/>
  <c r="AG470"/>
  <c r="BA470" s="1"/>
  <c r="AF470"/>
  <c r="J470"/>
  <c r="K470" s="1"/>
  <c r="BK469"/>
  <c r="BJ469"/>
  <c r="BI469"/>
  <c r="BH469"/>
  <c r="BG469"/>
  <c r="BF469"/>
  <c r="BE469"/>
  <c r="BD469"/>
  <c r="BC469"/>
  <c r="AY469"/>
  <c r="BQ469" s="1"/>
  <c r="AW469"/>
  <c r="BO469" s="1"/>
  <c r="AU469"/>
  <c r="BM469" s="1"/>
  <c r="AS469"/>
  <c r="BB469" s="1"/>
  <c r="BS469" s="1"/>
  <c r="AR469"/>
  <c r="AQ469"/>
  <c r="AZ469" s="1"/>
  <c r="BR469" s="1"/>
  <c r="AP469"/>
  <c r="AO469"/>
  <c r="AX469" s="1"/>
  <c r="BP469" s="1"/>
  <c r="AN469"/>
  <c r="AM469"/>
  <c r="AV469" s="1"/>
  <c r="BN469" s="1"/>
  <c r="AL469"/>
  <c r="AK469"/>
  <c r="AT469" s="1"/>
  <c r="BL469" s="1"/>
  <c r="AH469"/>
  <c r="AG469"/>
  <c r="BA469" s="1"/>
  <c r="AF469"/>
  <c r="J469"/>
  <c r="K469" s="1"/>
  <c r="BT469" s="1"/>
  <c r="BK468"/>
  <c r="BJ468"/>
  <c r="BI468"/>
  <c r="BH468"/>
  <c r="BG468"/>
  <c r="BF468"/>
  <c r="BE468"/>
  <c r="BD468"/>
  <c r="BC468"/>
  <c r="AY468"/>
  <c r="BQ468" s="1"/>
  <c r="AW468"/>
  <c r="BO468" s="1"/>
  <c r="AU468"/>
  <c r="BM468" s="1"/>
  <c r="AS468"/>
  <c r="BB468" s="1"/>
  <c r="BS468" s="1"/>
  <c r="AR468"/>
  <c r="AQ468"/>
  <c r="AZ468" s="1"/>
  <c r="BR468" s="1"/>
  <c r="AP468"/>
  <c r="AO468"/>
  <c r="AX468" s="1"/>
  <c r="BP468" s="1"/>
  <c r="AN468"/>
  <c r="AM468"/>
  <c r="AV468" s="1"/>
  <c r="BN468" s="1"/>
  <c r="AL468"/>
  <c r="AK468"/>
  <c r="AT468" s="1"/>
  <c r="BL468" s="1"/>
  <c r="AH468"/>
  <c r="AG468"/>
  <c r="BA468" s="1"/>
  <c r="AF468"/>
  <c r="J468"/>
  <c r="K468" s="1"/>
  <c r="BK467"/>
  <c r="BJ467"/>
  <c r="BI467"/>
  <c r="BH467"/>
  <c r="BG467"/>
  <c r="BF467"/>
  <c r="BE467"/>
  <c r="BD467"/>
  <c r="BC467"/>
  <c r="AY467"/>
  <c r="BQ467" s="1"/>
  <c r="AW467"/>
  <c r="BO467" s="1"/>
  <c r="AU467"/>
  <c r="BM467" s="1"/>
  <c r="AS467"/>
  <c r="BB467" s="1"/>
  <c r="BS467" s="1"/>
  <c r="AR467"/>
  <c r="AQ467"/>
  <c r="AZ467" s="1"/>
  <c r="BR467" s="1"/>
  <c r="AP467"/>
  <c r="AO467"/>
  <c r="AX467" s="1"/>
  <c r="BP467" s="1"/>
  <c r="AN467"/>
  <c r="AM467"/>
  <c r="AV467" s="1"/>
  <c r="BN467" s="1"/>
  <c r="AL467"/>
  <c r="AK467"/>
  <c r="AT467" s="1"/>
  <c r="BL467" s="1"/>
  <c r="AH467"/>
  <c r="AG467"/>
  <c r="BA467" s="1"/>
  <c r="AF467"/>
  <c r="J467"/>
  <c r="K467" s="1"/>
  <c r="BT467" s="1"/>
  <c r="O466"/>
  <c r="N466"/>
  <c r="BK464"/>
  <c r="BJ464"/>
  <c r="BI464"/>
  <c r="BH464"/>
  <c r="BG464"/>
  <c r="BF464"/>
  <c r="BE464"/>
  <c r="BD464"/>
  <c r="BC464"/>
  <c r="AY464"/>
  <c r="BQ464" s="1"/>
  <c r="AW464"/>
  <c r="BO464" s="1"/>
  <c r="AU464"/>
  <c r="BM464" s="1"/>
  <c r="AS464"/>
  <c r="BB464" s="1"/>
  <c r="BS464" s="1"/>
  <c r="AR464"/>
  <c r="AQ464"/>
  <c r="AZ464" s="1"/>
  <c r="BR464" s="1"/>
  <c r="AP464"/>
  <c r="AO464"/>
  <c r="AX464" s="1"/>
  <c r="BP464" s="1"/>
  <c r="AN464"/>
  <c r="AM464"/>
  <c r="AV464" s="1"/>
  <c r="BN464" s="1"/>
  <c r="AL464"/>
  <c r="AK464"/>
  <c r="AT464" s="1"/>
  <c r="BL464" s="1"/>
  <c r="AH464"/>
  <c r="AG464"/>
  <c r="BA464" s="1"/>
  <c r="AF464"/>
  <c r="J464"/>
  <c r="K464" s="1"/>
  <c r="BK463"/>
  <c r="BJ463"/>
  <c r="BI463"/>
  <c r="BH463"/>
  <c r="BG463"/>
  <c r="BF463"/>
  <c r="BE463"/>
  <c r="BD463"/>
  <c r="BC463"/>
  <c r="AY463"/>
  <c r="BQ463" s="1"/>
  <c r="AW463"/>
  <c r="BO463" s="1"/>
  <c r="AU463"/>
  <c r="BM463" s="1"/>
  <c r="AS463"/>
  <c r="BB463" s="1"/>
  <c r="BS463" s="1"/>
  <c r="AR463"/>
  <c r="AQ463"/>
  <c r="AZ463" s="1"/>
  <c r="BR463" s="1"/>
  <c r="AP463"/>
  <c r="AO463"/>
  <c r="AX463" s="1"/>
  <c r="BP463" s="1"/>
  <c r="AN463"/>
  <c r="AM463"/>
  <c r="AV463" s="1"/>
  <c r="BN463" s="1"/>
  <c r="AL463"/>
  <c r="AK463"/>
  <c r="AT463" s="1"/>
  <c r="BL463" s="1"/>
  <c r="AH463"/>
  <c r="AG463"/>
  <c r="BA463" s="1"/>
  <c r="AF463"/>
  <c r="J463"/>
  <c r="K463" s="1"/>
  <c r="BT463" s="1"/>
  <c r="BK462"/>
  <c r="BJ462"/>
  <c r="BI462"/>
  <c r="BH462"/>
  <c r="BG462"/>
  <c r="BF462"/>
  <c r="BE462"/>
  <c r="BD462"/>
  <c r="BC462"/>
  <c r="AY462"/>
  <c r="BQ462" s="1"/>
  <c r="AW462"/>
  <c r="BO462" s="1"/>
  <c r="AU462"/>
  <c r="BM462" s="1"/>
  <c r="AS462"/>
  <c r="BB462" s="1"/>
  <c r="BS462" s="1"/>
  <c r="AR462"/>
  <c r="AQ462"/>
  <c r="AZ462" s="1"/>
  <c r="BR462" s="1"/>
  <c r="AP462"/>
  <c r="AO462"/>
  <c r="AX462" s="1"/>
  <c r="BP462" s="1"/>
  <c r="AN462"/>
  <c r="AM462"/>
  <c r="AV462" s="1"/>
  <c r="BN462" s="1"/>
  <c r="AL462"/>
  <c r="AK462"/>
  <c r="AT462" s="1"/>
  <c r="BL462" s="1"/>
  <c r="AH462"/>
  <c r="AG462"/>
  <c r="BA462" s="1"/>
  <c r="AF462"/>
  <c r="J462"/>
  <c r="K462" s="1"/>
  <c r="BK461"/>
  <c r="BJ461"/>
  <c r="BI461"/>
  <c r="BH461"/>
  <c r="BG461"/>
  <c r="BF461"/>
  <c r="BE461"/>
  <c r="BD461"/>
  <c r="BC461"/>
  <c r="AY461"/>
  <c r="BQ461" s="1"/>
  <c r="AW461"/>
  <c r="BO461" s="1"/>
  <c r="AU461"/>
  <c r="BM461" s="1"/>
  <c r="AS461"/>
  <c r="BB461" s="1"/>
  <c r="BS461" s="1"/>
  <c r="AR461"/>
  <c r="AQ461"/>
  <c r="AZ461" s="1"/>
  <c r="BR461" s="1"/>
  <c r="AP461"/>
  <c r="AO461"/>
  <c r="AX461" s="1"/>
  <c r="BP461" s="1"/>
  <c r="AN461"/>
  <c r="AM461"/>
  <c r="AV461" s="1"/>
  <c r="BN461" s="1"/>
  <c r="AL461"/>
  <c r="AK461"/>
  <c r="AT461" s="1"/>
  <c r="BL461" s="1"/>
  <c r="AH461"/>
  <c r="AG461"/>
  <c r="BA461" s="1"/>
  <c r="AF461"/>
  <c r="J461"/>
  <c r="K461" s="1"/>
  <c r="BT461" s="1"/>
  <c r="BK460"/>
  <c r="BJ460"/>
  <c r="BI460"/>
  <c r="BH460"/>
  <c r="BG460"/>
  <c r="BF460"/>
  <c r="BE460"/>
  <c r="BD460"/>
  <c r="BC460"/>
  <c r="AY460"/>
  <c r="BQ460" s="1"/>
  <c r="AW460"/>
  <c r="BO460" s="1"/>
  <c r="AU460"/>
  <c r="BM460" s="1"/>
  <c r="AS460"/>
  <c r="BB460" s="1"/>
  <c r="BS460" s="1"/>
  <c r="AR460"/>
  <c r="AQ460"/>
  <c r="AZ460" s="1"/>
  <c r="BR460" s="1"/>
  <c r="AP460"/>
  <c r="AO460"/>
  <c r="AX460" s="1"/>
  <c r="BP460" s="1"/>
  <c r="AN460"/>
  <c r="AM460"/>
  <c r="AV460" s="1"/>
  <c r="BN460" s="1"/>
  <c r="AL460"/>
  <c r="AK460"/>
  <c r="AT460" s="1"/>
  <c r="BL460" s="1"/>
  <c r="AH460"/>
  <c r="AG460"/>
  <c r="BA460" s="1"/>
  <c r="AF460"/>
  <c r="J460"/>
  <c r="K460" s="1"/>
  <c r="O459"/>
  <c r="N459"/>
  <c r="N458"/>
  <c r="BK451"/>
  <c r="BJ451"/>
  <c r="BI451"/>
  <c r="BH451"/>
  <c r="BG451"/>
  <c r="BF451"/>
  <c r="BE451"/>
  <c r="BD451"/>
  <c r="BC451"/>
  <c r="AX451"/>
  <c r="BP451" s="1"/>
  <c r="AV451"/>
  <c r="BN451" s="1"/>
  <c r="AT451"/>
  <c r="BL451" s="1"/>
  <c r="AS451"/>
  <c r="AR451"/>
  <c r="BA451" s="1"/>
  <c r="AQ451"/>
  <c r="AP451"/>
  <c r="AY451" s="1"/>
  <c r="BQ451" s="1"/>
  <c r="AO451"/>
  <c r="AN451"/>
  <c r="AW451" s="1"/>
  <c r="BO451" s="1"/>
  <c r="AM451"/>
  <c r="AL451"/>
  <c r="AU451" s="1"/>
  <c r="BM451" s="1"/>
  <c r="AK451"/>
  <c r="AH451"/>
  <c r="AG451"/>
  <c r="AF451"/>
  <c r="BB451" s="1"/>
  <c r="BS451" s="1"/>
  <c r="K451"/>
  <c r="J451"/>
  <c r="L451" s="1"/>
  <c r="BK450"/>
  <c r="BJ450"/>
  <c r="BI450"/>
  <c r="BH450"/>
  <c r="BG450"/>
  <c r="BF450"/>
  <c r="BE450"/>
  <c r="BD450"/>
  <c r="BC450"/>
  <c r="AX450"/>
  <c r="BP450" s="1"/>
  <c r="AV450"/>
  <c r="BN450" s="1"/>
  <c r="AT450"/>
  <c r="BL450" s="1"/>
  <c r="AS450"/>
  <c r="AR450"/>
  <c r="BA450" s="1"/>
  <c r="AQ450"/>
  <c r="AP450"/>
  <c r="AY450" s="1"/>
  <c r="BQ450" s="1"/>
  <c r="AO450"/>
  <c r="AN450"/>
  <c r="AW450" s="1"/>
  <c r="BO450" s="1"/>
  <c r="AM450"/>
  <c r="AL450"/>
  <c r="AU450" s="1"/>
  <c r="BM450" s="1"/>
  <c r="AK450"/>
  <c r="AH450"/>
  <c r="AG450"/>
  <c r="AF450"/>
  <c r="BB450" s="1"/>
  <c r="BS450" s="1"/>
  <c r="K450"/>
  <c r="J450"/>
  <c r="L450" s="1"/>
  <c r="BK449"/>
  <c r="BJ449"/>
  <c r="BI449"/>
  <c r="BH449"/>
  <c r="BG449"/>
  <c r="BF449"/>
  <c r="BE449"/>
  <c r="BD449"/>
  <c r="BC449"/>
  <c r="AX449"/>
  <c r="BP449" s="1"/>
  <c r="AV449"/>
  <c r="BN449" s="1"/>
  <c r="AT449"/>
  <c r="BL449" s="1"/>
  <c r="AS449"/>
  <c r="AR449"/>
  <c r="BA449" s="1"/>
  <c r="AQ449"/>
  <c r="AP449"/>
  <c r="AY449" s="1"/>
  <c r="BQ449" s="1"/>
  <c r="AO449"/>
  <c r="AN449"/>
  <c r="AW449" s="1"/>
  <c r="BO449" s="1"/>
  <c r="AM449"/>
  <c r="AL449"/>
  <c r="AU449" s="1"/>
  <c r="BM449" s="1"/>
  <c r="AK449"/>
  <c r="AH449"/>
  <c r="AG449"/>
  <c r="AF449"/>
  <c r="BB449" s="1"/>
  <c r="BS449" s="1"/>
  <c r="K449"/>
  <c r="J449"/>
  <c r="L449" s="1"/>
  <c r="BK448"/>
  <c r="BJ448"/>
  <c r="BI448"/>
  <c r="BH448"/>
  <c r="BG448"/>
  <c r="BF448"/>
  <c r="BE448"/>
  <c r="BD448"/>
  <c r="BC448"/>
  <c r="AX448"/>
  <c r="BP448" s="1"/>
  <c r="AV448"/>
  <c r="BN448" s="1"/>
  <c r="AT448"/>
  <c r="BL448" s="1"/>
  <c r="AS448"/>
  <c r="AR448"/>
  <c r="BA448" s="1"/>
  <c r="AQ448"/>
  <c r="AP448"/>
  <c r="AY448" s="1"/>
  <c r="BQ448" s="1"/>
  <c r="AO448"/>
  <c r="AN448"/>
  <c r="AW448" s="1"/>
  <c r="BO448" s="1"/>
  <c r="AM448"/>
  <c r="AL448"/>
  <c r="AU448" s="1"/>
  <c r="BM448" s="1"/>
  <c r="AK448"/>
  <c r="AH448"/>
  <c r="AG448"/>
  <c r="AF448"/>
  <c r="BB448" s="1"/>
  <c r="BS448" s="1"/>
  <c r="K448"/>
  <c r="J448"/>
  <c r="L448" s="1"/>
  <c r="BK446"/>
  <c r="BJ446"/>
  <c r="BI446"/>
  <c r="BH446"/>
  <c r="BG446"/>
  <c r="BF446"/>
  <c r="BE446"/>
  <c r="BD446"/>
  <c r="BC446"/>
  <c r="AX446"/>
  <c r="BP446" s="1"/>
  <c r="AV446"/>
  <c r="BN446" s="1"/>
  <c r="AT446"/>
  <c r="BL446" s="1"/>
  <c r="AS446"/>
  <c r="AR446"/>
  <c r="BA446" s="1"/>
  <c r="AQ446"/>
  <c r="AP446"/>
  <c r="AY446" s="1"/>
  <c r="BQ446" s="1"/>
  <c r="AO446"/>
  <c r="AN446"/>
  <c r="AW446" s="1"/>
  <c r="BO446" s="1"/>
  <c r="AM446"/>
  <c r="AL446"/>
  <c r="AU446" s="1"/>
  <c r="BM446" s="1"/>
  <c r="AK446"/>
  <c r="AH446"/>
  <c r="AG446"/>
  <c r="AF446"/>
  <c r="BB446" s="1"/>
  <c r="BS446" s="1"/>
  <c r="K446"/>
  <c r="J446"/>
  <c r="L446" s="1"/>
  <c r="BK445"/>
  <c r="BJ445"/>
  <c r="BI445"/>
  <c r="BH445"/>
  <c r="BG445"/>
  <c r="BF445"/>
  <c r="BE445"/>
  <c r="BD445"/>
  <c r="BC445"/>
  <c r="AX445"/>
  <c r="BP445" s="1"/>
  <c r="AV445"/>
  <c r="BN445" s="1"/>
  <c r="AT445"/>
  <c r="BL445" s="1"/>
  <c r="AS445"/>
  <c r="AR445"/>
  <c r="BA445" s="1"/>
  <c r="AQ445"/>
  <c r="AP445"/>
  <c r="AY445" s="1"/>
  <c r="BQ445" s="1"/>
  <c r="AO445"/>
  <c r="AN445"/>
  <c r="AW445" s="1"/>
  <c r="BO445" s="1"/>
  <c r="AM445"/>
  <c r="AL445"/>
  <c r="AU445" s="1"/>
  <c r="BM445" s="1"/>
  <c r="AK445"/>
  <c r="AH445"/>
  <c r="AG445"/>
  <c r="AF445"/>
  <c r="BB445" s="1"/>
  <c r="BS445" s="1"/>
  <c r="K445"/>
  <c r="J445"/>
  <c r="L445" s="1"/>
  <c r="BK444"/>
  <c r="BJ444"/>
  <c r="BI444"/>
  <c r="BH444"/>
  <c r="BG444"/>
  <c r="BF444"/>
  <c r="BE444"/>
  <c r="BD444"/>
  <c r="BC444"/>
  <c r="AX444"/>
  <c r="BP444" s="1"/>
  <c r="AV444"/>
  <c r="BN444" s="1"/>
  <c r="AT444"/>
  <c r="BL444" s="1"/>
  <c r="AS444"/>
  <c r="AR444"/>
  <c r="BA444" s="1"/>
  <c r="AQ444"/>
  <c r="AP444"/>
  <c r="AY444" s="1"/>
  <c r="BQ444" s="1"/>
  <c r="AO444"/>
  <c r="AN444"/>
  <c r="AW444" s="1"/>
  <c r="BO444" s="1"/>
  <c r="AM444"/>
  <c r="AL444"/>
  <c r="AU444" s="1"/>
  <c r="BM444" s="1"/>
  <c r="AK444"/>
  <c r="AH444"/>
  <c r="AG444"/>
  <c r="AF444"/>
  <c r="BB444" s="1"/>
  <c r="BS444" s="1"/>
  <c r="K444"/>
  <c r="J444"/>
  <c r="L444" s="1"/>
  <c r="BK443"/>
  <c r="BJ443"/>
  <c r="BI443"/>
  <c r="BH443"/>
  <c r="BG443"/>
  <c r="BF443"/>
  <c r="BE443"/>
  <c r="BD443"/>
  <c r="BC443"/>
  <c r="AX443"/>
  <c r="BP443" s="1"/>
  <c r="AV443"/>
  <c r="BN443" s="1"/>
  <c r="AT443"/>
  <c r="BL443" s="1"/>
  <c r="AS443"/>
  <c r="AR443"/>
  <c r="BA443" s="1"/>
  <c r="AQ443"/>
  <c r="AP443"/>
  <c r="AY443" s="1"/>
  <c r="BQ443" s="1"/>
  <c r="AO443"/>
  <c r="AN443"/>
  <c r="AW443" s="1"/>
  <c r="BO443" s="1"/>
  <c r="AM443"/>
  <c r="AL443"/>
  <c r="AU443" s="1"/>
  <c r="BM443" s="1"/>
  <c r="AK443"/>
  <c r="AH443"/>
  <c r="AG443"/>
  <c r="AF443"/>
  <c r="BB443" s="1"/>
  <c r="BS443" s="1"/>
  <c r="K443"/>
  <c r="J443"/>
  <c r="L443" s="1"/>
  <c r="BK442"/>
  <c r="BJ442"/>
  <c r="BI442"/>
  <c r="BH442"/>
  <c r="BG442"/>
  <c r="BF442"/>
  <c r="BE442"/>
  <c r="BD442"/>
  <c r="BC442"/>
  <c r="AX442"/>
  <c r="BP442" s="1"/>
  <c r="AV442"/>
  <c r="BN442" s="1"/>
  <c r="AT442"/>
  <c r="BL442" s="1"/>
  <c r="AS442"/>
  <c r="AR442"/>
  <c r="BA442" s="1"/>
  <c r="AQ442"/>
  <c r="AP442"/>
  <c r="AY442" s="1"/>
  <c r="BQ442" s="1"/>
  <c r="AO442"/>
  <c r="AN442"/>
  <c r="AW442" s="1"/>
  <c r="BO442" s="1"/>
  <c r="AM442"/>
  <c r="AL442"/>
  <c r="AU442" s="1"/>
  <c r="BM442" s="1"/>
  <c r="AK442"/>
  <c r="AH442"/>
  <c r="AG442"/>
  <c r="AF442"/>
  <c r="BB442" s="1"/>
  <c r="BS442" s="1"/>
  <c r="K442"/>
  <c r="J442"/>
  <c r="L442" s="1"/>
  <c r="BK441"/>
  <c r="BJ441"/>
  <c r="BI441"/>
  <c r="BH441"/>
  <c r="BG441"/>
  <c r="BF441"/>
  <c r="BE441"/>
  <c r="BD441"/>
  <c r="BC441"/>
  <c r="AX441"/>
  <c r="BP441" s="1"/>
  <c r="AV441"/>
  <c r="BN441" s="1"/>
  <c r="AT441"/>
  <c r="BL441" s="1"/>
  <c r="AS441"/>
  <c r="AR441"/>
  <c r="BA441" s="1"/>
  <c r="AQ441"/>
  <c r="AP441"/>
  <c r="AY441" s="1"/>
  <c r="BQ441" s="1"/>
  <c r="AO441"/>
  <c r="AN441"/>
  <c r="AW441" s="1"/>
  <c r="BO441" s="1"/>
  <c r="AM441"/>
  <c r="AL441"/>
  <c r="AU441" s="1"/>
  <c r="BM441" s="1"/>
  <c r="AK441"/>
  <c r="AH441"/>
  <c r="AG441"/>
  <c r="AF441"/>
  <c r="BB441" s="1"/>
  <c r="BS441" s="1"/>
  <c r="K441"/>
  <c r="J441"/>
  <c r="L441" s="1"/>
  <c r="BK440"/>
  <c r="BJ440"/>
  <c r="BI440"/>
  <c r="BH440"/>
  <c r="BG440"/>
  <c r="BF440"/>
  <c r="BE440"/>
  <c r="BD440"/>
  <c r="BC440"/>
  <c r="AX440"/>
  <c r="BP440" s="1"/>
  <c r="AV440"/>
  <c r="BN440" s="1"/>
  <c r="AT440"/>
  <c r="BL440" s="1"/>
  <c r="AS440"/>
  <c r="AR440"/>
  <c r="BA440" s="1"/>
  <c r="AQ440"/>
  <c r="AP440"/>
  <c r="AY440" s="1"/>
  <c r="BQ440" s="1"/>
  <c r="AO440"/>
  <c r="AN440"/>
  <c r="AW440" s="1"/>
  <c r="BO440" s="1"/>
  <c r="AM440"/>
  <c r="AL440"/>
  <c r="AU440" s="1"/>
  <c r="BM440" s="1"/>
  <c r="AK440"/>
  <c r="AH440"/>
  <c r="AG440"/>
  <c r="AF440"/>
  <c r="BB440" s="1"/>
  <c r="BS440" s="1"/>
  <c r="K440"/>
  <c r="J440"/>
  <c r="L440" s="1"/>
  <c r="O439"/>
  <c r="N439"/>
  <c r="BK437"/>
  <c r="BJ437"/>
  <c r="BI437"/>
  <c r="BH437"/>
  <c r="BG437"/>
  <c r="BF437"/>
  <c r="BE437"/>
  <c r="BD437"/>
  <c r="BC437"/>
  <c r="AX437"/>
  <c r="BP437" s="1"/>
  <c r="AV437"/>
  <c r="BN437" s="1"/>
  <c r="AT437"/>
  <c r="BL437" s="1"/>
  <c r="AS437"/>
  <c r="AR437"/>
  <c r="BA437" s="1"/>
  <c r="AQ437"/>
  <c r="AP437"/>
  <c r="AY437" s="1"/>
  <c r="BQ437" s="1"/>
  <c r="AO437"/>
  <c r="AN437"/>
  <c r="AW437" s="1"/>
  <c r="BO437" s="1"/>
  <c r="AM437"/>
  <c r="AL437"/>
  <c r="AU437" s="1"/>
  <c r="BM437" s="1"/>
  <c r="AK437"/>
  <c r="AH437"/>
  <c r="AG437"/>
  <c r="AF437"/>
  <c r="BB437" s="1"/>
  <c r="BS437" s="1"/>
  <c r="K437"/>
  <c r="J437"/>
  <c r="L437" s="1"/>
  <c r="BK436"/>
  <c r="BJ436"/>
  <c r="BI436"/>
  <c r="BH436"/>
  <c r="BG436"/>
  <c r="BF436"/>
  <c r="BE436"/>
  <c r="BD436"/>
  <c r="BC436"/>
  <c r="AX436"/>
  <c r="BP436" s="1"/>
  <c r="AV436"/>
  <c r="BN436" s="1"/>
  <c r="AT436"/>
  <c r="BL436" s="1"/>
  <c r="AS436"/>
  <c r="AR436"/>
  <c r="BA436" s="1"/>
  <c r="AQ436"/>
  <c r="AP436"/>
  <c r="AY436" s="1"/>
  <c r="BQ436" s="1"/>
  <c r="AO436"/>
  <c r="AN436"/>
  <c r="AW436" s="1"/>
  <c r="BO436" s="1"/>
  <c r="AM436"/>
  <c r="AL436"/>
  <c r="AU436" s="1"/>
  <c r="BM436" s="1"/>
  <c r="AK436"/>
  <c r="AH436"/>
  <c r="AG436"/>
  <c r="AF436"/>
  <c r="BB436" s="1"/>
  <c r="BS436" s="1"/>
  <c r="K436"/>
  <c r="J436"/>
  <c r="L436" s="1"/>
  <c r="BK435"/>
  <c r="BJ435"/>
  <c r="BI435"/>
  <c r="BH435"/>
  <c r="BG435"/>
  <c r="BF435"/>
  <c r="BE435"/>
  <c r="BD435"/>
  <c r="BC435"/>
  <c r="AX435"/>
  <c r="BP435" s="1"/>
  <c r="AV435"/>
  <c r="BN435" s="1"/>
  <c r="AT435"/>
  <c r="BL435" s="1"/>
  <c r="AS435"/>
  <c r="AR435"/>
  <c r="BA435" s="1"/>
  <c r="AQ435"/>
  <c r="AP435"/>
  <c r="AY435" s="1"/>
  <c r="BQ435" s="1"/>
  <c r="AO435"/>
  <c r="AN435"/>
  <c r="AW435" s="1"/>
  <c r="BO435" s="1"/>
  <c r="AM435"/>
  <c r="AL435"/>
  <c r="AU435" s="1"/>
  <c r="BM435" s="1"/>
  <c r="AK435"/>
  <c r="AH435"/>
  <c r="AG435"/>
  <c r="AF435"/>
  <c r="BB435" s="1"/>
  <c r="BS435" s="1"/>
  <c r="K435"/>
  <c r="J435"/>
  <c r="L435" s="1"/>
  <c r="BK434"/>
  <c r="BJ434"/>
  <c r="BI434"/>
  <c r="BH434"/>
  <c r="BG434"/>
  <c r="BF434"/>
  <c r="BE434"/>
  <c r="BD434"/>
  <c r="BC434"/>
  <c r="AX434"/>
  <c r="BP434" s="1"/>
  <c r="AV434"/>
  <c r="BN434" s="1"/>
  <c r="AT434"/>
  <c r="BL434" s="1"/>
  <c r="AS434"/>
  <c r="AR434"/>
  <c r="BA434" s="1"/>
  <c r="AQ434"/>
  <c r="AP434"/>
  <c r="AY434" s="1"/>
  <c r="BQ434" s="1"/>
  <c r="AO434"/>
  <c r="AN434"/>
  <c r="AW434" s="1"/>
  <c r="BO434" s="1"/>
  <c r="AM434"/>
  <c r="AL434"/>
  <c r="AU434" s="1"/>
  <c r="BM434" s="1"/>
  <c r="AK434"/>
  <c r="AH434"/>
  <c r="AG434"/>
  <c r="AF434"/>
  <c r="BB434" s="1"/>
  <c r="BS434" s="1"/>
  <c r="K434"/>
  <c r="J434"/>
  <c r="L434" s="1"/>
  <c r="BK433"/>
  <c r="BJ433"/>
  <c r="BI433"/>
  <c r="BH433"/>
  <c r="BG433"/>
  <c r="BF433"/>
  <c r="BE433"/>
  <c r="BD433"/>
  <c r="BC433"/>
  <c r="AZ433"/>
  <c r="BR433" s="1"/>
  <c r="AX433"/>
  <c r="BP433" s="1"/>
  <c r="AV433"/>
  <c r="BN433" s="1"/>
  <c r="AT433"/>
  <c r="BL433" s="1"/>
  <c r="AS433"/>
  <c r="AR433"/>
  <c r="AQ433"/>
  <c r="AP433"/>
  <c r="AY433" s="1"/>
  <c r="BQ433" s="1"/>
  <c r="AO433"/>
  <c r="AN433"/>
  <c r="AW433" s="1"/>
  <c r="BO433" s="1"/>
  <c r="AM433"/>
  <c r="AL433"/>
  <c r="AU433" s="1"/>
  <c r="BM433" s="1"/>
  <c r="AK433"/>
  <c r="AH433"/>
  <c r="AG433"/>
  <c r="AF433"/>
  <c r="BB433" s="1"/>
  <c r="BS433" s="1"/>
  <c r="K433"/>
  <c r="J433"/>
  <c r="L433" s="1"/>
  <c r="O432"/>
  <c r="N432"/>
  <c r="N431"/>
  <c r="BO424"/>
  <c r="BK424"/>
  <c r="BJ424"/>
  <c r="BI424"/>
  <c r="BH424"/>
  <c r="BG424"/>
  <c r="BF424"/>
  <c r="BE424"/>
  <c r="BD424"/>
  <c r="BC424"/>
  <c r="AY424"/>
  <c r="BQ424" s="1"/>
  <c r="AW424"/>
  <c r="AU424"/>
  <c r="BM424" s="1"/>
  <c r="AS424"/>
  <c r="AR424"/>
  <c r="AQ424"/>
  <c r="AP424"/>
  <c r="AO424"/>
  <c r="AX424" s="1"/>
  <c r="AN424"/>
  <c r="AM424"/>
  <c r="AV424" s="1"/>
  <c r="AL424"/>
  <c r="AK424"/>
  <c r="AT424" s="1"/>
  <c r="AH424"/>
  <c r="AG424"/>
  <c r="BA424" s="1"/>
  <c r="AF424"/>
  <c r="J424"/>
  <c r="K424" s="1"/>
  <c r="BQ423"/>
  <c r="BM423"/>
  <c r="BK423"/>
  <c r="BJ423"/>
  <c r="BI423"/>
  <c r="BH423"/>
  <c r="BG423"/>
  <c r="BF423"/>
  <c r="BE423"/>
  <c r="BD423"/>
  <c r="BC423"/>
  <c r="AY423"/>
  <c r="AW423"/>
  <c r="BO423" s="1"/>
  <c r="AU423"/>
  <c r="AS423"/>
  <c r="AR423"/>
  <c r="AQ423"/>
  <c r="AP423"/>
  <c r="AO423"/>
  <c r="AX423" s="1"/>
  <c r="BP423" s="1"/>
  <c r="AN423"/>
  <c r="AM423"/>
  <c r="AV423" s="1"/>
  <c r="BN423" s="1"/>
  <c r="AL423"/>
  <c r="AK423"/>
  <c r="AT423" s="1"/>
  <c r="BL423" s="1"/>
  <c r="AH423"/>
  <c r="AG423"/>
  <c r="BA423" s="1"/>
  <c r="AF423"/>
  <c r="J423"/>
  <c r="L423" s="1"/>
  <c r="BK422"/>
  <c r="BJ422"/>
  <c r="BI422"/>
  <c r="BH422"/>
  <c r="BG422"/>
  <c r="BF422"/>
  <c r="BE422"/>
  <c r="BD422"/>
  <c r="BC422"/>
  <c r="AY422"/>
  <c r="BQ422" s="1"/>
  <c r="AW422"/>
  <c r="BO422" s="1"/>
  <c r="AU422"/>
  <c r="BM422" s="1"/>
  <c r="AS422"/>
  <c r="BB422" s="1"/>
  <c r="BS422" s="1"/>
  <c r="AR422"/>
  <c r="AQ422"/>
  <c r="AZ422" s="1"/>
  <c r="BR422" s="1"/>
  <c r="AP422"/>
  <c r="AO422"/>
  <c r="AX422" s="1"/>
  <c r="BP422" s="1"/>
  <c r="AN422"/>
  <c r="AM422"/>
  <c r="AV422" s="1"/>
  <c r="BN422" s="1"/>
  <c r="AL422"/>
  <c r="AK422"/>
  <c r="AT422" s="1"/>
  <c r="BL422" s="1"/>
  <c r="AH422"/>
  <c r="AG422"/>
  <c r="BA422" s="1"/>
  <c r="AF422"/>
  <c r="J422"/>
  <c r="L422" s="1"/>
  <c r="BK421"/>
  <c r="BJ421"/>
  <c r="BI421"/>
  <c r="BH421"/>
  <c r="BG421"/>
  <c r="BF421"/>
  <c r="BE421"/>
  <c r="BD421"/>
  <c r="BC421"/>
  <c r="AY421"/>
  <c r="BQ421" s="1"/>
  <c r="AW421"/>
  <c r="BO421" s="1"/>
  <c r="AU421"/>
  <c r="BM421" s="1"/>
  <c r="AS421"/>
  <c r="BB421" s="1"/>
  <c r="BS421" s="1"/>
  <c r="AR421"/>
  <c r="AQ421"/>
  <c r="AZ421" s="1"/>
  <c r="BR421" s="1"/>
  <c r="AP421"/>
  <c r="AO421"/>
  <c r="AX421" s="1"/>
  <c r="BP421" s="1"/>
  <c r="AN421"/>
  <c r="AM421"/>
  <c r="AV421" s="1"/>
  <c r="BN421" s="1"/>
  <c r="AL421"/>
  <c r="AK421"/>
  <c r="AT421" s="1"/>
  <c r="BL421" s="1"/>
  <c r="AH421"/>
  <c r="AG421"/>
  <c r="BA421" s="1"/>
  <c r="AF421"/>
  <c r="J421"/>
  <c r="L421" s="1"/>
  <c r="BK419"/>
  <c r="BJ419"/>
  <c r="BI419"/>
  <c r="BH419"/>
  <c r="BG419"/>
  <c r="BF419"/>
  <c r="BE419"/>
  <c r="BD419"/>
  <c r="BC419"/>
  <c r="AY419"/>
  <c r="BQ419" s="1"/>
  <c r="AW419"/>
  <c r="BO419" s="1"/>
  <c r="AU419"/>
  <c r="BM419" s="1"/>
  <c r="AS419"/>
  <c r="BB419" s="1"/>
  <c r="BS419" s="1"/>
  <c r="AR419"/>
  <c r="AQ419"/>
  <c r="AZ419" s="1"/>
  <c r="BR419" s="1"/>
  <c r="AP419"/>
  <c r="AO419"/>
  <c r="AX419" s="1"/>
  <c r="BP419" s="1"/>
  <c r="AN419"/>
  <c r="AM419"/>
  <c r="AV419" s="1"/>
  <c r="BN419" s="1"/>
  <c r="AL419"/>
  <c r="AK419"/>
  <c r="AT419" s="1"/>
  <c r="BL419" s="1"/>
  <c r="AH419"/>
  <c r="AG419"/>
  <c r="BA419" s="1"/>
  <c r="AF419"/>
  <c r="J419"/>
  <c r="L419" s="1"/>
  <c r="BK418"/>
  <c r="BJ418"/>
  <c r="BI418"/>
  <c r="BH418"/>
  <c r="BG418"/>
  <c r="BF418"/>
  <c r="BE418"/>
  <c r="BD418"/>
  <c r="BC418"/>
  <c r="AY418"/>
  <c r="BQ418" s="1"/>
  <c r="AW418"/>
  <c r="BO418" s="1"/>
  <c r="AU418"/>
  <c r="BM418" s="1"/>
  <c r="AS418"/>
  <c r="BB418" s="1"/>
  <c r="BS418" s="1"/>
  <c r="AR418"/>
  <c r="AQ418"/>
  <c r="AZ418" s="1"/>
  <c r="BR418" s="1"/>
  <c r="AP418"/>
  <c r="AO418"/>
  <c r="AX418" s="1"/>
  <c r="BP418" s="1"/>
  <c r="AN418"/>
  <c r="AM418"/>
  <c r="AV418" s="1"/>
  <c r="BN418" s="1"/>
  <c r="AL418"/>
  <c r="AK418"/>
  <c r="AT418" s="1"/>
  <c r="BL418" s="1"/>
  <c r="AH418"/>
  <c r="AG418"/>
  <c r="BA418" s="1"/>
  <c r="AF418"/>
  <c r="J418"/>
  <c r="L418" s="1"/>
  <c r="BK417"/>
  <c r="BJ417"/>
  <c r="BI417"/>
  <c r="BH417"/>
  <c r="BG417"/>
  <c r="BF417"/>
  <c r="BE417"/>
  <c r="BD417"/>
  <c r="BC417"/>
  <c r="AY417"/>
  <c r="BQ417" s="1"/>
  <c r="AW417"/>
  <c r="BO417" s="1"/>
  <c r="AU417"/>
  <c r="BM417" s="1"/>
  <c r="AS417"/>
  <c r="BB417" s="1"/>
  <c r="BS417" s="1"/>
  <c r="AR417"/>
  <c r="AQ417"/>
  <c r="AZ417" s="1"/>
  <c r="BR417" s="1"/>
  <c r="AP417"/>
  <c r="AO417"/>
  <c r="AX417" s="1"/>
  <c r="BP417" s="1"/>
  <c r="AN417"/>
  <c r="AM417"/>
  <c r="AV417" s="1"/>
  <c r="BN417" s="1"/>
  <c r="AL417"/>
  <c r="AK417"/>
  <c r="AT417" s="1"/>
  <c r="BL417" s="1"/>
  <c r="AH417"/>
  <c r="AG417"/>
  <c r="BA417" s="1"/>
  <c r="AF417"/>
  <c r="J417"/>
  <c r="L417" s="1"/>
  <c r="BK416"/>
  <c r="BJ416"/>
  <c r="BI416"/>
  <c r="BH416"/>
  <c r="BG416"/>
  <c r="BF416"/>
  <c r="BE416"/>
  <c r="BD416"/>
  <c r="BC416"/>
  <c r="AY416"/>
  <c r="BQ416" s="1"/>
  <c r="AW416"/>
  <c r="BO416" s="1"/>
  <c r="AU416"/>
  <c r="BM416" s="1"/>
  <c r="AS416"/>
  <c r="BB416" s="1"/>
  <c r="BS416" s="1"/>
  <c r="AR416"/>
  <c r="AQ416"/>
  <c r="AZ416" s="1"/>
  <c r="BR416" s="1"/>
  <c r="AP416"/>
  <c r="AO416"/>
  <c r="AX416" s="1"/>
  <c r="BP416" s="1"/>
  <c r="AN416"/>
  <c r="AM416"/>
  <c r="AV416" s="1"/>
  <c r="BN416" s="1"/>
  <c r="AL416"/>
  <c r="AK416"/>
  <c r="AT416" s="1"/>
  <c r="BL416" s="1"/>
  <c r="AH416"/>
  <c r="AG416"/>
  <c r="BA416" s="1"/>
  <c r="AF416"/>
  <c r="J416"/>
  <c r="L416" s="1"/>
  <c r="BK415"/>
  <c r="BJ415"/>
  <c r="BI415"/>
  <c r="BH415"/>
  <c r="BG415"/>
  <c r="BF415"/>
  <c r="BE415"/>
  <c r="BD415"/>
  <c r="BC415"/>
  <c r="AY415"/>
  <c r="BQ415" s="1"/>
  <c r="AW415"/>
  <c r="BO415" s="1"/>
  <c r="AU415"/>
  <c r="BM415" s="1"/>
  <c r="AS415"/>
  <c r="BB415" s="1"/>
  <c r="BS415" s="1"/>
  <c r="AR415"/>
  <c r="AQ415"/>
  <c r="AZ415" s="1"/>
  <c r="BR415" s="1"/>
  <c r="AP415"/>
  <c r="AO415"/>
  <c r="AX415" s="1"/>
  <c r="BP415" s="1"/>
  <c r="AN415"/>
  <c r="AM415"/>
  <c r="AV415" s="1"/>
  <c r="BN415" s="1"/>
  <c r="AL415"/>
  <c r="AK415"/>
  <c r="AT415" s="1"/>
  <c r="BL415" s="1"/>
  <c r="AH415"/>
  <c r="AG415"/>
  <c r="BA415" s="1"/>
  <c r="AF415"/>
  <c r="J415"/>
  <c r="L415" s="1"/>
  <c r="BK414"/>
  <c r="BJ414"/>
  <c r="BI414"/>
  <c r="BH414"/>
  <c r="BG414"/>
  <c r="BF414"/>
  <c r="BE414"/>
  <c r="BD414"/>
  <c r="BC414"/>
  <c r="AY414"/>
  <c r="BQ414" s="1"/>
  <c r="AW414"/>
  <c r="BO414" s="1"/>
  <c r="AU414"/>
  <c r="BM414" s="1"/>
  <c r="AS414"/>
  <c r="BB414" s="1"/>
  <c r="BS414" s="1"/>
  <c r="AR414"/>
  <c r="AQ414"/>
  <c r="AZ414" s="1"/>
  <c r="BR414" s="1"/>
  <c r="AP414"/>
  <c r="AO414"/>
  <c r="AX414" s="1"/>
  <c r="BP414" s="1"/>
  <c r="AN414"/>
  <c r="AM414"/>
  <c r="AV414" s="1"/>
  <c r="BN414" s="1"/>
  <c r="AL414"/>
  <c r="AK414"/>
  <c r="AT414" s="1"/>
  <c r="BL414" s="1"/>
  <c r="AH414"/>
  <c r="AG414"/>
  <c r="BA414" s="1"/>
  <c r="AF414"/>
  <c r="J414"/>
  <c r="L414" s="1"/>
  <c r="BK413"/>
  <c r="BJ413"/>
  <c r="BI413"/>
  <c r="BH413"/>
  <c r="BG413"/>
  <c r="BF413"/>
  <c r="BE413"/>
  <c r="BD413"/>
  <c r="BC413"/>
  <c r="AY413"/>
  <c r="BQ413" s="1"/>
  <c r="AW413"/>
  <c r="BO413" s="1"/>
  <c r="AU413"/>
  <c r="BM413" s="1"/>
  <c r="AS413"/>
  <c r="BB413" s="1"/>
  <c r="BS413" s="1"/>
  <c r="AR413"/>
  <c r="AQ413"/>
  <c r="AZ413" s="1"/>
  <c r="BR413" s="1"/>
  <c r="AP413"/>
  <c r="AO413"/>
  <c r="AX413" s="1"/>
  <c r="BP413" s="1"/>
  <c r="AN413"/>
  <c r="AM413"/>
  <c r="AV413" s="1"/>
  <c r="BN413" s="1"/>
  <c r="AL413"/>
  <c r="AK413"/>
  <c r="AT413" s="1"/>
  <c r="BL413" s="1"/>
  <c r="AH413"/>
  <c r="AG413"/>
  <c r="BA413" s="1"/>
  <c r="AF413"/>
  <c r="J413"/>
  <c r="L413" s="1"/>
  <c r="O412"/>
  <c r="N412"/>
  <c r="BK410"/>
  <c r="BJ410"/>
  <c r="BI410"/>
  <c r="BH410"/>
  <c r="BG410"/>
  <c r="BF410"/>
  <c r="BE410"/>
  <c r="BD410"/>
  <c r="BC410"/>
  <c r="AY410"/>
  <c r="BQ410" s="1"/>
  <c r="AW410"/>
  <c r="BO410" s="1"/>
  <c r="AU410"/>
  <c r="BM410" s="1"/>
  <c r="AS410"/>
  <c r="BB410" s="1"/>
  <c r="BS410" s="1"/>
  <c r="AR410"/>
  <c r="AQ410"/>
  <c r="AZ410" s="1"/>
  <c r="BR410" s="1"/>
  <c r="AP410"/>
  <c r="AO410"/>
  <c r="AX410" s="1"/>
  <c r="BP410" s="1"/>
  <c r="AN410"/>
  <c r="AM410"/>
  <c r="AV410" s="1"/>
  <c r="BN410" s="1"/>
  <c r="AL410"/>
  <c r="AK410"/>
  <c r="AT410" s="1"/>
  <c r="BL410" s="1"/>
  <c r="AH410"/>
  <c r="AG410"/>
  <c r="BA410" s="1"/>
  <c r="AF410"/>
  <c r="J410"/>
  <c r="L410" s="1"/>
  <c r="BK409"/>
  <c r="BJ409"/>
  <c r="BI409"/>
  <c r="BH409"/>
  <c r="BG409"/>
  <c r="BF409"/>
  <c r="BE409"/>
  <c r="BD409"/>
  <c r="BC409"/>
  <c r="AY409"/>
  <c r="BQ409" s="1"/>
  <c r="AW409"/>
  <c r="BO409" s="1"/>
  <c r="AU409"/>
  <c r="BM409" s="1"/>
  <c r="AS409"/>
  <c r="BB409" s="1"/>
  <c r="BS409" s="1"/>
  <c r="AR409"/>
  <c r="AQ409"/>
  <c r="AZ409" s="1"/>
  <c r="BR409" s="1"/>
  <c r="AP409"/>
  <c r="AO409"/>
  <c r="AX409" s="1"/>
  <c r="BP409" s="1"/>
  <c r="AN409"/>
  <c r="AM409"/>
  <c r="AV409" s="1"/>
  <c r="BN409" s="1"/>
  <c r="AL409"/>
  <c r="AK409"/>
  <c r="AT409" s="1"/>
  <c r="BL409" s="1"/>
  <c r="AH409"/>
  <c r="AG409"/>
  <c r="BA409" s="1"/>
  <c r="AF409"/>
  <c r="J409"/>
  <c r="L409" s="1"/>
  <c r="BK408"/>
  <c r="BJ408"/>
  <c r="BI408"/>
  <c r="BH408"/>
  <c r="BG408"/>
  <c r="BF408"/>
  <c r="BE408"/>
  <c r="BD408"/>
  <c r="BC408"/>
  <c r="AY408"/>
  <c r="BQ408" s="1"/>
  <c r="AW408"/>
  <c r="BO408" s="1"/>
  <c r="AU408"/>
  <c r="BM408" s="1"/>
  <c r="AS408"/>
  <c r="BB408" s="1"/>
  <c r="BS408" s="1"/>
  <c r="AR408"/>
  <c r="AQ408"/>
  <c r="AZ408" s="1"/>
  <c r="BR408" s="1"/>
  <c r="AP408"/>
  <c r="AO408"/>
  <c r="AX408" s="1"/>
  <c r="BP408" s="1"/>
  <c r="AN408"/>
  <c r="AM408"/>
  <c r="AV408" s="1"/>
  <c r="BN408" s="1"/>
  <c r="AL408"/>
  <c r="AK408"/>
  <c r="AT408" s="1"/>
  <c r="BL408" s="1"/>
  <c r="AH408"/>
  <c r="AG408"/>
  <c r="BA408" s="1"/>
  <c r="AF408"/>
  <c r="J408"/>
  <c r="L408" s="1"/>
  <c r="BK407"/>
  <c r="BJ407"/>
  <c r="BI407"/>
  <c r="BH407"/>
  <c r="BG407"/>
  <c r="BF407"/>
  <c r="BE407"/>
  <c r="BD407"/>
  <c r="BC407"/>
  <c r="AY407"/>
  <c r="BQ407" s="1"/>
  <c r="AW407"/>
  <c r="BO407" s="1"/>
  <c r="AU407"/>
  <c r="BM407" s="1"/>
  <c r="AS407"/>
  <c r="BB407" s="1"/>
  <c r="BS407" s="1"/>
  <c r="AR407"/>
  <c r="AQ407"/>
  <c r="AZ407" s="1"/>
  <c r="BR407" s="1"/>
  <c r="AP407"/>
  <c r="AO407"/>
  <c r="AX407" s="1"/>
  <c r="BP407" s="1"/>
  <c r="AN407"/>
  <c r="AM407"/>
  <c r="AV407" s="1"/>
  <c r="BN407" s="1"/>
  <c r="AL407"/>
  <c r="AK407"/>
  <c r="AT407" s="1"/>
  <c r="BL407" s="1"/>
  <c r="AH407"/>
  <c r="AG407"/>
  <c r="BA407" s="1"/>
  <c r="AF407"/>
  <c r="J407"/>
  <c r="L407" s="1"/>
  <c r="BK406"/>
  <c r="BJ406"/>
  <c r="BI406"/>
  <c r="BH406"/>
  <c r="BG406"/>
  <c r="BF406"/>
  <c r="BE406"/>
  <c r="BD406"/>
  <c r="BC406"/>
  <c r="AY406"/>
  <c r="BQ406" s="1"/>
  <c r="AW406"/>
  <c r="BO406" s="1"/>
  <c r="AU406"/>
  <c r="BM406" s="1"/>
  <c r="AS406"/>
  <c r="BB406" s="1"/>
  <c r="BS406" s="1"/>
  <c r="AR406"/>
  <c r="AQ406"/>
  <c r="AZ406" s="1"/>
  <c r="BR406" s="1"/>
  <c r="AP406"/>
  <c r="AO406"/>
  <c r="AX406" s="1"/>
  <c r="BP406" s="1"/>
  <c r="AN406"/>
  <c r="AM406"/>
  <c r="AV406" s="1"/>
  <c r="BN406" s="1"/>
  <c r="AL406"/>
  <c r="AK406"/>
  <c r="AT406" s="1"/>
  <c r="BL406" s="1"/>
  <c r="AH406"/>
  <c r="AG406"/>
  <c r="BA406" s="1"/>
  <c r="AF406"/>
  <c r="J406"/>
  <c r="L406" s="1"/>
  <c r="O405"/>
  <c r="N405"/>
  <c r="N404"/>
  <c r="BK397"/>
  <c r="BJ397"/>
  <c r="BI397"/>
  <c r="BH397"/>
  <c r="BG397"/>
  <c r="BF397"/>
  <c r="BE397"/>
  <c r="BD397"/>
  <c r="BC397"/>
  <c r="AX397"/>
  <c r="BP397" s="1"/>
  <c r="AV397"/>
  <c r="BN397" s="1"/>
  <c r="AT397"/>
  <c r="BL397" s="1"/>
  <c r="AS397"/>
  <c r="AR397"/>
  <c r="BA397" s="1"/>
  <c r="AQ397"/>
  <c r="AP397"/>
  <c r="AY397" s="1"/>
  <c r="BQ397" s="1"/>
  <c r="AO397"/>
  <c r="AN397"/>
  <c r="AW397" s="1"/>
  <c r="BO397" s="1"/>
  <c r="AM397"/>
  <c r="AL397"/>
  <c r="AU397" s="1"/>
  <c r="BM397" s="1"/>
  <c r="AK397"/>
  <c r="AH397"/>
  <c r="AG397"/>
  <c r="AF397"/>
  <c r="BB397" s="1"/>
  <c r="BS397" s="1"/>
  <c r="K397"/>
  <c r="J397"/>
  <c r="L397" s="1"/>
  <c r="BK396"/>
  <c r="BJ396"/>
  <c r="BI396"/>
  <c r="BH396"/>
  <c r="BG396"/>
  <c r="BF396"/>
  <c r="BE396"/>
  <c r="BD396"/>
  <c r="BC396"/>
  <c r="AX396"/>
  <c r="BP396" s="1"/>
  <c r="AV396"/>
  <c r="BN396" s="1"/>
  <c r="AT396"/>
  <c r="BL396" s="1"/>
  <c r="AS396"/>
  <c r="AR396"/>
  <c r="BA396" s="1"/>
  <c r="AQ396"/>
  <c r="AP396"/>
  <c r="AY396" s="1"/>
  <c r="BQ396" s="1"/>
  <c r="AO396"/>
  <c r="AN396"/>
  <c r="AW396" s="1"/>
  <c r="BO396" s="1"/>
  <c r="AM396"/>
  <c r="AL396"/>
  <c r="AU396" s="1"/>
  <c r="BM396" s="1"/>
  <c r="AK396"/>
  <c r="AH396"/>
  <c r="AG396"/>
  <c r="AF396"/>
  <c r="BB396" s="1"/>
  <c r="BS396" s="1"/>
  <c r="K396"/>
  <c r="J396"/>
  <c r="L396" s="1"/>
  <c r="BK395"/>
  <c r="BJ395"/>
  <c r="BI395"/>
  <c r="BH395"/>
  <c r="BG395"/>
  <c r="BF395"/>
  <c r="BE395"/>
  <c r="BD395"/>
  <c r="BC395"/>
  <c r="AX395"/>
  <c r="BP395" s="1"/>
  <c r="AV395"/>
  <c r="BN395" s="1"/>
  <c r="AT395"/>
  <c r="BL395" s="1"/>
  <c r="AS395"/>
  <c r="AR395"/>
  <c r="BA395" s="1"/>
  <c r="AQ395"/>
  <c r="AP395"/>
  <c r="AY395" s="1"/>
  <c r="BQ395" s="1"/>
  <c r="AO395"/>
  <c r="AN395"/>
  <c r="AW395" s="1"/>
  <c r="BO395" s="1"/>
  <c r="AM395"/>
  <c r="AL395"/>
  <c r="AU395" s="1"/>
  <c r="BM395" s="1"/>
  <c r="AK395"/>
  <c r="AH395"/>
  <c r="AG395"/>
  <c r="AF395"/>
  <c r="BB395" s="1"/>
  <c r="BS395" s="1"/>
  <c r="K395"/>
  <c r="J395"/>
  <c r="L395" s="1"/>
  <c r="BK394"/>
  <c r="BJ394"/>
  <c r="BI394"/>
  <c r="BH394"/>
  <c r="BG394"/>
  <c r="BF394"/>
  <c r="BE394"/>
  <c r="BD394"/>
  <c r="BC394"/>
  <c r="AX394"/>
  <c r="BP394" s="1"/>
  <c r="AV394"/>
  <c r="BN394" s="1"/>
  <c r="AT394"/>
  <c r="BL394" s="1"/>
  <c r="AS394"/>
  <c r="AR394"/>
  <c r="BA394" s="1"/>
  <c r="AQ394"/>
  <c r="AP394"/>
  <c r="AY394" s="1"/>
  <c r="BQ394" s="1"/>
  <c r="AO394"/>
  <c r="AN394"/>
  <c r="AW394" s="1"/>
  <c r="BO394" s="1"/>
  <c r="AM394"/>
  <c r="AL394"/>
  <c r="AU394" s="1"/>
  <c r="BM394" s="1"/>
  <c r="AK394"/>
  <c r="AH394"/>
  <c r="AG394"/>
  <c r="AF394"/>
  <c r="BB394" s="1"/>
  <c r="BS394" s="1"/>
  <c r="K394"/>
  <c r="J394"/>
  <c r="L394" s="1"/>
  <c r="BK392"/>
  <c r="BJ392"/>
  <c r="BI392"/>
  <c r="BH392"/>
  <c r="BG392"/>
  <c r="BF392"/>
  <c r="BE392"/>
  <c r="BD392"/>
  <c r="BC392"/>
  <c r="AX392"/>
  <c r="BP392" s="1"/>
  <c r="AV392"/>
  <c r="BN392" s="1"/>
  <c r="AT392"/>
  <c r="BL392" s="1"/>
  <c r="AS392"/>
  <c r="AR392"/>
  <c r="BA392" s="1"/>
  <c r="AQ392"/>
  <c r="AP392"/>
  <c r="AY392" s="1"/>
  <c r="BQ392" s="1"/>
  <c r="AO392"/>
  <c r="AN392"/>
  <c r="AW392" s="1"/>
  <c r="BO392" s="1"/>
  <c r="AM392"/>
  <c r="AL392"/>
  <c r="AU392" s="1"/>
  <c r="BM392" s="1"/>
  <c r="AK392"/>
  <c r="AH392"/>
  <c r="AG392"/>
  <c r="AF392"/>
  <c r="BB392" s="1"/>
  <c r="BS392" s="1"/>
  <c r="K392"/>
  <c r="J392"/>
  <c r="L392" s="1"/>
  <c r="BK391"/>
  <c r="BJ391"/>
  <c r="BI391"/>
  <c r="BH391"/>
  <c r="BG391"/>
  <c r="BF391"/>
  <c r="BE391"/>
  <c r="BD391"/>
  <c r="BC391"/>
  <c r="AX391"/>
  <c r="BP391" s="1"/>
  <c r="AV391"/>
  <c r="BN391" s="1"/>
  <c r="AT391"/>
  <c r="BL391" s="1"/>
  <c r="AS391"/>
  <c r="AR391"/>
  <c r="BA391" s="1"/>
  <c r="AQ391"/>
  <c r="AP391"/>
  <c r="AY391" s="1"/>
  <c r="BQ391" s="1"/>
  <c r="AO391"/>
  <c r="AN391"/>
  <c r="AW391" s="1"/>
  <c r="BO391" s="1"/>
  <c r="AM391"/>
  <c r="AL391"/>
  <c r="AU391" s="1"/>
  <c r="BM391" s="1"/>
  <c r="AK391"/>
  <c r="AH391"/>
  <c r="AG391"/>
  <c r="AF391"/>
  <c r="BB391" s="1"/>
  <c r="BS391" s="1"/>
  <c r="K391"/>
  <c r="J391"/>
  <c r="L391" s="1"/>
  <c r="BK390"/>
  <c r="BJ390"/>
  <c r="BI390"/>
  <c r="BH390"/>
  <c r="BG390"/>
  <c r="BF390"/>
  <c r="BE390"/>
  <c r="BD390"/>
  <c r="BC390"/>
  <c r="AX390"/>
  <c r="BP390" s="1"/>
  <c r="AV390"/>
  <c r="BN390" s="1"/>
  <c r="AT390"/>
  <c r="BL390" s="1"/>
  <c r="AS390"/>
  <c r="AR390"/>
  <c r="BA390" s="1"/>
  <c r="AQ390"/>
  <c r="AP390"/>
  <c r="AY390" s="1"/>
  <c r="BQ390" s="1"/>
  <c r="AO390"/>
  <c r="AN390"/>
  <c r="AW390" s="1"/>
  <c r="BO390" s="1"/>
  <c r="AM390"/>
  <c r="AL390"/>
  <c r="AU390" s="1"/>
  <c r="BM390" s="1"/>
  <c r="AK390"/>
  <c r="AH390"/>
  <c r="AG390"/>
  <c r="AF390"/>
  <c r="BB390" s="1"/>
  <c r="BS390" s="1"/>
  <c r="K390"/>
  <c r="J390"/>
  <c r="L390" s="1"/>
  <c r="BK389"/>
  <c r="BJ389"/>
  <c r="BI389"/>
  <c r="BH389"/>
  <c r="BG389"/>
  <c r="BF389"/>
  <c r="BE389"/>
  <c r="BD389"/>
  <c r="BC389"/>
  <c r="AX389"/>
  <c r="BP389" s="1"/>
  <c r="AV389"/>
  <c r="BN389" s="1"/>
  <c r="AT389"/>
  <c r="BL389" s="1"/>
  <c r="AS389"/>
  <c r="AR389"/>
  <c r="BA389" s="1"/>
  <c r="AQ389"/>
  <c r="AP389"/>
  <c r="AY389" s="1"/>
  <c r="BQ389" s="1"/>
  <c r="AO389"/>
  <c r="AN389"/>
  <c r="AW389" s="1"/>
  <c r="BO389" s="1"/>
  <c r="AM389"/>
  <c r="AL389"/>
  <c r="AU389" s="1"/>
  <c r="BM389" s="1"/>
  <c r="AK389"/>
  <c r="AH389"/>
  <c r="AG389"/>
  <c r="AF389"/>
  <c r="BB389" s="1"/>
  <c r="BS389" s="1"/>
  <c r="K389"/>
  <c r="J389"/>
  <c r="L389" s="1"/>
  <c r="BK388"/>
  <c r="BJ388"/>
  <c r="BI388"/>
  <c r="BH388"/>
  <c r="BG388"/>
  <c r="BF388"/>
  <c r="BE388"/>
  <c r="BD388"/>
  <c r="BC388"/>
  <c r="AX388"/>
  <c r="BP388" s="1"/>
  <c r="AV388"/>
  <c r="BN388" s="1"/>
  <c r="AT388"/>
  <c r="BL388" s="1"/>
  <c r="AS388"/>
  <c r="AR388"/>
  <c r="BA388" s="1"/>
  <c r="AQ388"/>
  <c r="AP388"/>
  <c r="AY388" s="1"/>
  <c r="BQ388" s="1"/>
  <c r="AO388"/>
  <c r="AN388"/>
  <c r="AW388" s="1"/>
  <c r="BO388" s="1"/>
  <c r="AM388"/>
  <c r="AL388"/>
  <c r="AU388" s="1"/>
  <c r="BM388" s="1"/>
  <c r="AK388"/>
  <c r="AH388"/>
  <c r="AG388"/>
  <c r="AF388"/>
  <c r="BB388" s="1"/>
  <c r="BS388" s="1"/>
  <c r="K388"/>
  <c r="J388"/>
  <c r="L388" s="1"/>
  <c r="BK387"/>
  <c r="BJ387"/>
  <c r="BI387"/>
  <c r="BH387"/>
  <c r="BG387"/>
  <c r="BF387"/>
  <c r="BE387"/>
  <c r="BD387"/>
  <c r="BC387"/>
  <c r="AX387"/>
  <c r="BP387" s="1"/>
  <c r="AV387"/>
  <c r="BN387" s="1"/>
  <c r="AT387"/>
  <c r="BL387" s="1"/>
  <c r="AS387"/>
  <c r="AR387"/>
  <c r="BA387" s="1"/>
  <c r="AQ387"/>
  <c r="AP387"/>
  <c r="AY387" s="1"/>
  <c r="BQ387" s="1"/>
  <c r="AO387"/>
  <c r="AN387"/>
  <c r="AW387" s="1"/>
  <c r="BO387" s="1"/>
  <c r="AM387"/>
  <c r="AL387"/>
  <c r="AU387" s="1"/>
  <c r="BM387" s="1"/>
  <c r="AK387"/>
  <c r="AH387"/>
  <c r="AG387"/>
  <c r="AF387"/>
  <c r="BB387" s="1"/>
  <c r="BS387" s="1"/>
  <c r="K387"/>
  <c r="J387"/>
  <c r="L387" s="1"/>
  <c r="BK386"/>
  <c r="BJ386"/>
  <c r="BI386"/>
  <c r="BH386"/>
  <c r="BG386"/>
  <c r="BF386"/>
  <c r="BE386"/>
  <c r="BD386"/>
  <c r="BC386"/>
  <c r="AX386"/>
  <c r="BP386" s="1"/>
  <c r="AV386"/>
  <c r="BN386" s="1"/>
  <c r="AT386"/>
  <c r="BL386" s="1"/>
  <c r="AS386"/>
  <c r="AR386"/>
  <c r="BA386" s="1"/>
  <c r="AQ386"/>
  <c r="AP386"/>
  <c r="AY386" s="1"/>
  <c r="BQ386" s="1"/>
  <c r="AO386"/>
  <c r="AN386"/>
  <c r="AW386" s="1"/>
  <c r="BO386" s="1"/>
  <c r="AM386"/>
  <c r="AL386"/>
  <c r="AU386" s="1"/>
  <c r="BM386" s="1"/>
  <c r="AK386"/>
  <c r="AH386"/>
  <c r="AG386"/>
  <c r="AF386"/>
  <c r="BB386" s="1"/>
  <c r="BS386" s="1"/>
  <c r="K386"/>
  <c r="J386"/>
  <c r="L386" s="1"/>
  <c r="O385"/>
  <c r="N385"/>
  <c r="BK383"/>
  <c r="BJ383"/>
  <c r="BI383"/>
  <c r="BH383"/>
  <c r="BG383"/>
  <c r="BF383"/>
  <c r="BE383"/>
  <c r="BD383"/>
  <c r="BC383"/>
  <c r="AX383"/>
  <c r="BP383" s="1"/>
  <c r="AV383"/>
  <c r="BN383" s="1"/>
  <c r="AT383"/>
  <c r="BL383" s="1"/>
  <c r="AS383"/>
  <c r="AR383"/>
  <c r="BA383" s="1"/>
  <c r="AQ383"/>
  <c r="AP383"/>
  <c r="AY383" s="1"/>
  <c r="BQ383" s="1"/>
  <c r="AO383"/>
  <c r="AN383"/>
  <c r="AW383" s="1"/>
  <c r="BO383" s="1"/>
  <c r="AM383"/>
  <c r="AL383"/>
  <c r="AU383" s="1"/>
  <c r="BM383" s="1"/>
  <c r="AK383"/>
  <c r="AH383"/>
  <c r="AG383"/>
  <c r="AF383"/>
  <c r="BB383" s="1"/>
  <c r="BS383" s="1"/>
  <c r="K383"/>
  <c r="J383"/>
  <c r="L383" s="1"/>
  <c r="BK382"/>
  <c r="BJ382"/>
  <c r="BI382"/>
  <c r="BH382"/>
  <c r="BG382"/>
  <c r="BF382"/>
  <c r="BE382"/>
  <c r="BD382"/>
  <c r="BC382"/>
  <c r="AX382"/>
  <c r="BP382" s="1"/>
  <c r="AV382"/>
  <c r="BN382" s="1"/>
  <c r="AT382"/>
  <c r="BL382" s="1"/>
  <c r="AS382"/>
  <c r="AR382"/>
  <c r="BA382" s="1"/>
  <c r="AQ382"/>
  <c r="AP382"/>
  <c r="AY382" s="1"/>
  <c r="BQ382" s="1"/>
  <c r="AO382"/>
  <c r="AN382"/>
  <c r="AW382" s="1"/>
  <c r="BO382" s="1"/>
  <c r="AM382"/>
  <c r="AL382"/>
  <c r="AU382" s="1"/>
  <c r="BM382" s="1"/>
  <c r="AK382"/>
  <c r="AH382"/>
  <c r="AG382"/>
  <c r="AF382"/>
  <c r="BB382" s="1"/>
  <c r="BS382" s="1"/>
  <c r="K382"/>
  <c r="J382"/>
  <c r="L382" s="1"/>
  <c r="BK381"/>
  <c r="BJ381"/>
  <c r="BI381"/>
  <c r="BH381"/>
  <c r="BG381"/>
  <c r="BF381"/>
  <c r="BE381"/>
  <c r="BD381"/>
  <c r="BC381"/>
  <c r="AX381"/>
  <c r="BP381" s="1"/>
  <c r="AV381"/>
  <c r="BN381" s="1"/>
  <c r="AT381"/>
  <c r="BL381" s="1"/>
  <c r="AS381"/>
  <c r="AR381"/>
  <c r="BA381" s="1"/>
  <c r="AQ381"/>
  <c r="AP381"/>
  <c r="AY381" s="1"/>
  <c r="BQ381" s="1"/>
  <c r="AO381"/>
  <c r="AN381"/>
  <c r="AW381" s="1"/>
  <c r="BO381" s="1"/>
  <c r="AM381"/>
  <c r="AL381"/>
  <c r="AU381" s="1"/>
  <c r="BM381" s="1"/>
  <c r="AK381"/>
  <c r="AH381"/>
  <c r="AG381"/>
  <c r="AF381"/>
  <c r="BB381" s="1"/>
  <c r="BS381" s="1"/>
  <c r="K381"/>
  <c r="J381"/>
  <c r="L381" s="1"/>
  <c r="BK380"/>
  <c r="BJ380"/>
  <c r="BI380"/>
  <c r="BH380"/>
  <c r="BG380"/>
  <c r="BF380"/>
  <c r="BE380"/>
  <c r="BD380"/>
  <c r="BC380"/>
  <c r="AX380"/>
  <c r="BP380" s="1"/>
  <c r="AV380"/>
  <c r="BN380" s="1"/>
  <c r="AT380"/>
  <c r="BL380" s="1"/>
  <c r="AS380"/>
  <c r="AR380"/>
  <c r="BA380" s="1"/>
  <c r="AQ380"/>
  <c r="AP380"/>
  <c r="AY380" s="1"/>
  <c r="BQ380" s="1"/>
  <c r="AO380"/>
  <c r="AN380"/>
  <c r="AW380" s="1"/>
  <c r="BO380" s="1"/>
  <c r="AM380"/>
  <c r="AL380"/>
  <c r="AU380" s="1"/>
  <c r="BM380" s="1"/>
  <c r="AK380"/>
  <c r="AH380"/>
  <c r="AG380"/>
  <c r="AF380"/>
  <c r="BB380" s="1"/>
  <c r="BS380" s="1"/>
  <c r="K380"/>
  <c r="J380"/>
  <c r="L380" s="1"/>
  <c r="BK379"/>
  <c r="BJ379"/>
  <c r="BI379"/>
  <c r="BH379"/>
  <c r="BG379"/>
  <c r="BF379"/>
  <c r="BE379"/>
  <c r="BD379"/>
  <c r="BC379"/>
  <c r="AX379"/>
  <c r="BP379" s="1"/>
  <c r="AV379"/>
  <c r="BN379" s="1"/>
  <c r="AT379"/>
  <c r="BL379" s="1"/>
  <c r="AS379"/>
  <c r="AR379"/>
  <c r="BA379" s="1"/>
  <c r="AQ379"/>
  <c r="AP379"/>
  <c r="AY379" s="1"/>
  <c r="BQ379" s="1"/>
  <c r="AO379"/>
  <c r="AN379"/>
  <c r="AW379" s="1"/>
  <c r="BO379" s="1"/>
  <c r="AM379"/>
  <c r="AL379"/>
  <c r="AU379" s="1"/>
  <c r="BM379" s="1"/>
  <c r="AK379"/>
  <c r="AH379"/>
  <c r="AG379"/>
  <c r="AF379"/>
  <c r="BB379" s="1"/>
  <c r="BS379" s="1"/>
  <c r="K379"/>
  <c r="J379"/>
  <c r="L379" s="1"/>
  <c r="L398" s="1"/>
  <c r="O378"/>
  <c r="N378"/>
  <c r="N377"/>
  <c r="BK370"/>
  <c r="BJ370"/>
  <c r="BI370"/>
  <c r="BH370"/>
  <c r="BG370"/>
  <c r="BF370"/>
  <c r="BE370"/>
  <c r="BD370"/>
  <c r="BC370"/>
  <c r="AY370"/>
  <c r="BQ370" s="1"/>
  <c r="AW370"/>
  <c r="BO370" s="1"/>
  <c r="AU370"/>
  <c r="BM370" s="1"/>
  <c r="AS370"/>
  <c r="BB370" s="1"/>
  <c r="BS370" s="1"/>
  <c r="AR370"/>
  <c r="AQ370"/>
  <c r="AZ370" s="1"/>
  <c r="BR370" s="1"/>
  <c r="AP370"/>
  <c r="AO370"/>
  <c r="AX370" s="1"/>
  <c r="BP370" s="1"/>
  <c r="AN370"/>
  <c r="AM370"/>
  <c r="AV370" s="1"/>
  <c r="BN370" s="1"/>
  <c r="AL370"/>
  <c r="AK370"/>
  <c r="AT370" s="1"/>
  <c r="BL370" s="1"/>
  <c r="AH370"/>
  <c r="AG370"/>
  <c r="BA370" s="1"/>
  <c r="AF370"/>
  <c r="J370"/>
  <c r="L370" s="1"/>
  <c r="BK369"/>
  <c r="BJ369"/>
  <c r="BI369"/>
  <c r="BH369"/>
  <c r="BG369"/>
  <c r="BF369"/>
  <c r="BE369"/>
  <c r="BD369"/>
  <c r="BC369"/>
  <c r="AY369"/>
  <c r="BQ369" s="1"/>
  <c r="AW369"/>
  <c r="BO369" s="1"/>
  <c r="AU369"/>
  <c r="BM369" s="1"/>
  <c r="AS369"/>
  <c r="BB369" s="1"/>
  <c r="BS369" s="1"/>
  <c r="AR369"/>
  <c r="AQ369"/>
  <c r="AZ369" s="1"/>
  <c r="BR369" s="1"/>
  <c r="AP369"/>
  <c r="AO369"/>
  <c r="AX369" s="1"/>
  <c r="BP369" s="1"/>
  <c r="AN369"/>
  <c r="AM369"/>
  <c r="AV369" s="1"/>
  <c r="BN369" s="1"/>
  <c r="AL369"/>
  <c r="AK369"/>
  <c r="AT369" s="1"/>
  <c r="BL369" s="1"/>
  <c r="AH369"/>
  <c r="AG369"/>
  <c r="BA369" s="1"/>
  <c r="AF369"/>
  <c r="J369"/>
  <c r="L369" s="1"/>
  <c r="BK368"/>
  <c r="BJ368"/>
  <c r="BI368"/>
  <c r="BH368"/>
  <c r="BG368"/>
  <c r="BF368"/>
  <c r="BE368"/>
  <c r="BD368"/>
  <c r="BC368"/>
  <c r="AY368"/>
  <c r="BQ368" s="1"/>
  <c r="AW368"/>
  <c r="BO368" s="1"/>
  <c r="AU368"/>
  <c r="BM368" s="1"/>
  <c r="AS368"/>
  <c r="BB368" s="1"/>
  <c r="BS368" s="1"/>
  <c r="AR368"/>
  <c r="AQ368"/>
  <c r="AZ368" s="1"/>
  <c r="BR368" s="1"/>
  <c r="AP368"/>
  <c r="AO368"/>
  <c r="AX368" s="1"/>
  <c r="BP368" s="1"/>
  <c r="AN368"/>
  <c r="AM368"/>
  <c r="AV368" s="1"/>
  <c r="BN368" s="1"/>
  <c r="AL368"/>
  <c r="AK368"/>
  <c r="AT368" s="1"/>
  <c r="BL368" s="1"/>
  <c r="AH368"/>
  <c r="AG368"/>
  <c r="BA368" s="1"/>
  <c r="AF368"/>
  <c r="J368"/>
  <c r="L368" s="1"/>
  <c r="BK367"/>
  <c r="BJ367"/>
  <c r="BI367"/>
  <c r="BH367"/>
  <c r="BG367"/>
  <c r="BF367"/>
  <c r="BE367"/>
  <c r="BD367"/>
  <c r="BC367"/>
  <c r="AY367"/>
  <c r="BQ367" s="1"/>
  <c r="AW367"/>
  <c r="BO367" s="1"/>
  <c r="AU367"/>
  <c r="BM367" s="1"/>
  <c r="AS367"/>
  <c r="BB367" s="1"/>
  <c r="BS367" s="1"/>
  <c r="AR367"/>
  <c r="AQ367"/>
  <c r="AZ367" s="1"/>
  <c r="BR367" s="1"/>
  <c r="AP367"/>
  <c r="AO367"/>
  <c r="AX367" s="1"/>
  <c r="BP367" s="1"/>
  <c r="AN367"/>
  <c r="AM367"/>
  <c r="AV367" s="1"/>
  <c r="BN367" s="1"/>
  <c r="AL367"/>
  <c r="AK367"/>
  <c r="AT367" s="1"/>
  <c r="BL367" s="1"/>
  <c r="AH367"/>
  <c r="AG367"/>
  <c r="BA367" s="1"/>
  <c r="AF367"/>
  <c r="J367"/>
  <c r="L367" s="1"/>
  <c r="BK365"/>
  <c r="BJ365"/>
  <c r="BI365"/>
  <c r="BH365"/>
  <c r="BG365"/>
  <c r="BF365"/>
  <c r="BE365"/>
  <c r="BD365"/>
  <c r="BC365"/>
  <c r="AY365"/>
  <c r="BQ365" s="1"/>
  <c r="AW365"/>
  <c r="BO365" s="1"/>
  <c r="AU365"/>
  <c r="BM365" s="1"/>
  <c r="AS365"/>
  <c r="BB365" s="1"/>
  <c r="BS365" s="1"/>
  <c r="AR365"/>
  <c r="AQ365"/>
  <c r="AZ365" s="1"/>
  <c r="BR365" s="1"/>
  <c r="AP365"/>
  <c r="AO365"/>
  <c r="AX365" s="1"/>
  <c r="BP365" s="1"/>
  <c r="AN365"/>
  <c r="AM365"/>
  <c r="AV365" s="1"/>
  <c r="BN365" s="1"/>
  <c r="AL365"/>
  <c r="AK365"/>
  <c r="AT365" s="1"/>
  <c r="BL365" s="1"/>
  <c r="AH365"/>
  <c r="AG365"/>
  <c r="BA365" s="1"/>
  <c r="AF365"/>
  <c r="J365"/>
  <c r="L365" s="1"/>
  <c r="BK364"/>
  <c r="BJ364"/>
  <c r="BI364"/>
  <c r="BH364"/>
  <c r="BG364"/>
  <c r="BF364"/>
  <c r="BE364"/>
  <c r="BD364"/>
  <c r="BC364"/>
  <c r="AY364"/>
  <c r="BQ364" s="1"/>
  <c r="AW364"/>
  <c r="BO364" s="1"/>
  <c r="AU364"/>
  <c r="BM364" s="1"/>
  <c r="AS364"/>
  <c r="BB364" s="1"/>
  <c r="BS364" s="1"/>
  <c r="AR364"/>
  <c r="AQ364"/>
  <c r="AZ364" s="1"/>
  <c r="BR364" s="1"/>
  <c r="AP364"/>
  <c r="AO364"/>
  <c r="AX364" s="1"/>
  <c r="BP364" s="1"/>
  <c r="AN364"/>
  <c r="AM364"/>
  <c r="AV364" s="1"/>
  <c r="BN364" s="1"/>
  <c r="AL364"/>
  <c r="AK364"/>
  <c r="AT364" s="1"/>
  <c r="BL364" s="1"/>
  <c r="AH364"/>
  <c r="AG364"/>
  <c r="BA364" s="1"/>
  <c r="AF364"/>
  <c r="J364"/>
  <c r="L364" s="1"/>
  <c r="BK363"/>
  <c r="BJ363"/>
  <c r="BI363"/>
  <c r="BH363"/>
  <c r="BG363"/>
  <c r="BF363"/>
  <c r="BE363"/>
  <c r="BD363"/>
  <c r="BC363"/>
  <c r="AY363"/>
  <c r="BQ363" s="1"/>
  <c r="AW363"/>
  <c r="BO363" s="1"/>
  <c r="AU363"/>
  <c r="BM363" s="1"/>
  <c r="AS363"/>
  <c r="BB363" s="1"/>
  <c r="BS363" s="1"/>
  <c r="AR363"/>
  <c r="AQ363"/>
  <c r="AZ363" s="1"/>
  <c r="BR363" s="1"/>
  <c r="AP363"/>
  <c r="AO363"/>
  <c r="AX363" s="1"/>
  <c r="BP363" s="1"/>
  <c r="AN363"/>
  <c r="AM363"/>
  <c r="AV363" s="1"/>
  <c r="BN363" s="1"/>
  <c r="AL363"/>
  <c r="AK363"/>
  <c r="AT363" s="1"/>
  <c r="BL363" s="1"/>
  <c r="AH363"/>
  <c r="AG363"/>
  <c r="BA363" s="1"/>
  <c r="AF363"/>
  <c r="J363"/>
  <c r="L363" s="1"/>
  <c r="BK362"/>
  <c r="BJ362"/>
  <c r="BI362"/>
  <c r="BH362"/>
  <c r="BG362"/>
  <c r="BF362"/>
  <c r="BE362"/>
  <c r="BD362"/>
  <c r="BC362"/>
  <c r="AY362"/>
  <c r="BQ362" s="1"/>
  <c r="AW362"/>
  <c r="BO362" s="1"/>
  <c r="AU362"/>
  <c r="BM362" s="1"/>
  <c r="AS362"/>
  <c r="BB362" s="1"/>
  <c r="BS362" s="1"/>
  <c r="AR362"/>
  <c r="AQ362"/>
  <c r="AZ362" s="1"/>
  <c r="BR362" s="1"/>
  <c r="AP362"/>
  <c r="AO362"/>
  <c r="AX362" s="1"/>
  <c r="BP362" s="1"/>
  <c r="AN362"/>
  <c r="AM362"/>
  <c r="AV362" s="1"/>
  <c r="BN362" s="1"/>
  <c r="AL362"/>
  <c r="AK362"/>
  <c r="AT362" s="1"/>
  <c r="BL362" s="1"/>
  <c r="AH362"/>
  <c r="AG362"/>
  <c r="BA362" s="1"/>
  <c r="AF362"/>
  <c r="J362"/>
  <c r="L362" s="1"/>
  <c r="BK361"/>
  <c r="BJ361"/>
  <c r="BI361"/>
  <c r="BH361"/>
  <c r="BG361"/>
  <c r="BF361"/>
  <c r="BE361"/>
  <c r="BD361"/>
  <c r="BC361"/>
  <c r="AY361"/>
  <c r="BQ361" s="1"/>
  <c r="AW361"/>
  <c r="BO361" s="1"/>
  <c r="AU361"/>
  <c r="BM361" s="1"/>
  <c r="AS361"/>
  <c r="BB361" s="1"/>
  <c r="BS361" s="1"/>
  <c r="AR361"/>
  <c r="AQ361"/>
  <c r="AZ361" s="1"/>
  <c r="BR361" s="1"/>
  <c r="AP361"/>
  <c r="AO361"/>
  <c r="AX361" s="1"/>
  <c r="BP361" s="1"/>
  <c r="AN361"/>
  <c r="AM361"/>
  <c r="AV361" s="1"/>
  <c r="BN361" s="1"/>
  <c r="AL361"/>
  <c r="AK361"/>
  <c r="AT361" s="1"/>
  <c r="BL361" s="1"/>
  <c r="AH361"/>
  <c r="AG361"/>
  <c r="BA361" s="1"/>
  <c r="AF361"/>
  <c r="J361"/>
  <c r="L361" s="1"/>
  <c r="BK360"/>
  <c r="BJ360"/>
  <c r="BI360"/>
  <c r="BH360"/>
  <c r="BG360"/>
  <c r="BF360"/>
  <c r="BE360"/>
  <c r="BD360"/>
  <c r="BC360"/>
  <c r="AY360"/>
  <c r="BQ360" s="1"/>
  <c r="AW360"/>
  <c r="BO360" s="1"/>
  <c r="AU360"/>
  <c r="BM360" s="1"/>
  <c r="AS360"/>
  <c r="BB360" s="1"/>
  <c r="BS360" s="1"/>
  <c r="AR360"/>
  <c r="AQ360"/>
  <c r="AZ360" s="1"/>
  <c r="BR360" s="1"/>
  <c r="AP360"/>
  <c r="AO360"/>
  <c r="AX360" s="1"/>
  <c r="BP360" s="1"/>
  <c r="AN360"/>
  <c r="AM360"/>
  <c r="AV360" s="1"/>
  <c r="BN360" s="1"/>
  <c r="AL360"/>
  <c r="AK360"/>
  <c r="AT360" s="1"/>
  <c r="BL360" s="1"/>
  <c r="AH360"/>
  <c r="AG360"/>
  <c r="BA360" s="1"/>
  <c r="AF360"/>
  <c r="J360"/>
  <c r="L360" s="1"/>
  <c r="BK359"/>
  <c r="BJ359"/>
  <c r="BI359"/>
  <c r="BH359"/>
  <c r="BG359"/>
  <c r="BF359"/>
  <c r="BE359"/>
  <c r="BD359"/>
  <c r="BC359"/>
  <c r="AY359"/>
  <c r="BQ359" s="1"/>
  <c r="AW359"/>
  <c r="BO359" s="1"/>
  <c r="AU359"/>
  <c r="BM359" s="1"/>
  <c r="AS359"/>
  <c r="AR359"/>
  <c r="AQ359"/>
  <c r="AP359"/>
  <c r="AO359"/>
  <c r="AX359" s="1"/>
  <c r="BP359" s="1"/>
  <c r="AN359"/>
  <c r="AM359"/>
  <c r="AV359" s="1"/>
  <c r="BN359" s="1"/>
  <c r="AL359"/>
  <c r="AK359"/>
  <c r="AT359" s="1"/>
  <c r="BL359" s="1"/>
  <c r="AH359"/>
  <c r="AG359"/>
  <c r="BA359" s="1"/>
  <c r="AF359"/>
  <c r="L359"/>
  <c r="J359"/>
  <c r="K359" s="1"/>
  <c r="O358"/>
  <c r="N358"/>
  <c r="BO356"/>
  <c r="BK356"/>
  <c r="BJ356"/>
  <c r="BI356"/>
  <c r="BH356"/>
  <c r="BG356"/>
  <c r="BF356"/>
  <c r="BE356"/>
  <c r="BD356"/>
  <c r="BC356"/>
  <c r="AY356"/>
  <c r="BQ356" s="1"/>
  <c r="AW356"/>
  <c r="AU356"/>
  <c r="BM356" s="1"/>
  <c r="AS356"/>
  <c r="AR356"/>
  <c r="AQ356"/>
  <c r="AP356"/>
  <c r="AO356"/>
  <c r="AX356" s="1"/>
  <c r="AN356"/>
  <c r="AM356"/>
  <c r="AV356" s="1"/>
  <c r="AL356"/>
  <c r="AK356"/>
  <c r="AT356" s="1"/>
  <c r="AH356"/>
  <c r="AG356"/>
  <c r="BA356" s="1"/>
  <c r="AF356"/>
  <c r="J356"/>
  <c r="K356" s="1"/>
  <c r="BQ355"/>
  <c r="BM355"/>
  <c r="BK355"/>
  <c r="BJ355"/>
  <c r="BI355"/>
  <c r="BH355"/>
  <c r="BG355"/>
  <c r="BF355"/>
  <c r="BE355"/>
  <c r="BD355"/>
  <c r="BC355"/>
  <c r="AY355"/>
  <c r="AW355"/>
  <c r="BO355" s="1"/>
  <c r="AU355"/>
  <c r="AS355"/>
  <c r="AR355"/>
  <c r="AQ355"/>
  <c r="AP355"/>
  <c r="AO355"/>
  <c r="AX355" s="1"/>
  <c r="BP355" s="1"/>
  <c r="AN355"/>
  <c r="AM355"/>
  <c r="AV355" s="1"/>
  <c r="BN355" s="1"/>
  <c r="AL355"/>
  <c r="AK355"/>
  <c r="AT355" s="1"/>
  <c r="BL355" s="1"/>
  <c r="AH355"/>
  <c r="AG355"/>
  <c r="BA355" s="1"/>
  <c r="AF355"/>
  <c r="L355"/>
  <c r="J355"/>
  <c r="K355" s="1"/>
  <c r="BO354"/>
  <c r="BK354"/>
  <c r="BJ354"/>
  <c r="BI354"/>
  <c r="BH354"/>
  <c r="BG354"/>
  <c r="BF354"/>
  <c r="BE354"/>
  <c r="BD354"/>
  <c r="BC354"/>
  <c r="AY354"/>
  <c r="BQ354" s="1"/>
  <c r="AW354"/>
  <c r="AU354"/>
  <c r="BM354" s="1"/>
  <c r="AS354"/>
  <c r="AR354"/>
  <c r="AQ354"/>
  <c r="AP354"/>
  <c r="AO354"/>
  <c r="AX354" s="1"/>
  <c r="AN354"/>
  <c r="AM354"/>
  <c r="AV354" s="1"/>
  <c r="AL354"/>
  <c r="AK354"/>
  <c r="AT354" s="1"/>
  <c r="AH354"/>
  <c r="AG354"/>
  <c r="BA354" s="1"/>
  <c r="AF354"/>
  <c r="J354"/>
  <c r="K354" s="1"/>
  <c r="BQ353"/>
  <c r="BM353"/>
  <c r="BK353"/>
  <c r="BJ353"/>
  <c r="BI353"/>
  <c r="BH353"/>
  <c r="BG353"/>
  <c r="BF353"/>
  <c r="BE353"/>
  <c r="BD353"/>
  <c r="BC353"/>
  <c r="AY353"/>
  <c r="AW353"/>
  <c r="BO353" s="1"/>
  <c r="AU353"/>
  <c r="AS353"/>
  <c r="AR353"/>
  <c r="AQ353"/>
  <c r="AP353"/>
  <c r="AO353"/>
  <c r="AX353" s="1"/>
  <c r="BP353" s="1"/>
  <c r="AN353"/>
  <c r="AM353"/>
  <c r="AV353" s="1"/>
  <c r="BN353" s="1"/>
  <c r="AL353"/>
  <c r="AK353"/>
  <c r="AT353" s="1"/>
  <c r="BL353" s="1"/>
  <c r="AH353"/>
  <c r="AG353"/>
  <c r="BA353" s="1"/>
  <c r="AF353"/>
  <c r="L353"/>
  <c r="J353"/>
  <c r="K353" s="1"/>
  <c r="BK352"/>
  <c r="BJ352"/>
  <c r="BI352"/>
  <c r="BH352"/>
  <c r="BG352"/>
  <c r="BF352"/>
  <c r="BE352"/>
  <c r="BD352"/>
  <c r="BC352"/>
  <c r="AY352"/>
  <c r="BQ352" s="1"/>
  <c r="AW352"/>
  <c r="BO352" s="1"/>
  <c r="AU352"/>
  <c r="BM352" s="1"/>
  <c r="AS352"/>
  <c r="BB352" s="1"/>
  <c r="BS352" s="1"/>
  <c r="AR352"/>
  <c r="AQ352"/>
  <c r="AZ352" s="1"/>
  <c r="BR352" s="1"/>
  <c r="AP352"/>
  <c r="AO352"/>
  <c r="AX352" s="1"/>
  <c r="BP352" s="1"/>
  <c r="AN352"/>
  <c r="AM352"/>
  <c r="AV352" s="1"/>
  <c r="BN352" s="1"/>
  <c r="AL352"/>
  <c r="AK352"/>
  <c r="AT352" s="1"/>
  <c r="BL352" s="1"/>
  <c r="AH352"/>
  <c r="AG352"/>
  <c r="BA352" s="1"/>
  <c r="AF352"/>
  <c r="J352"/>
  <c r="L352" s="1"/>
  <c r="O351"/>
  <c r="N351"/>
  <c r="N350"/>
  <c r="BK343"/>
  <c r="BJ343"/>
  <c r="BI343"/>
  <c r="BH343"/>
  <c r="BG343"/>
  <c r="BF343"/>
  <c r="BE343"/>
  <c r="BD343"/>
  <c r="BC343"/>
  <c r="AX343"/>
  <c r="BP343" s="1"/>
  <c r="AV343"/>
  <c r="BN343" s="1"/>
  <c r="AT343"/>
  <c r="BL343" s="1"/>
  <c r="AS343"/>
  <c r="AR343"/>
  <c r="BA343" s="1"/>
  <c r="AQ343"/>
  <c r="AP343"/>
  <c r="AY343" s="1"/>
  <c r="BQ343" s="1"/>
  <c r="AO343"/>
  <c r="AN343"/>
  <c r="AW343" s="1"/>
  <c r="BO343" s="1"/>
  <c r="AM343"/>
  <c r="AL343"/>
  <c r="AU343" s="1"/>
  <c r="BM343" s="1"/>
  <c r="AK343"/>
  <c r="AH343"/>
  <c r="AG343"/>
  <c r="AF343"/>
  <c r="BB343" s="1"/>
  <c r="BS343" s="1"/>
  <c r="K343"/>
  <c r="J343"/>
  <c r="L343" s="1"/>
  <c r="BK342"/>
  <c r="BJ342"/>
  <c r="BI342"/>
  <c r="BH342"/>
  <c r="BG342"/>
  <c r="BF342"/>
  <c r="BE342"/>
  <c r="BD342"/>
  <c r="BC342"/>
  <c r="AX342"/>
  <c r="BP342" s="1"/>
  <c r="AV342"/>
  <c r="BN342" s="1"/>
  <c r="AT342"/>
  <c r="BL342" s="1"/>
  <c r="AS342"/>
  <c r="AR342"/>
  <c r="BA342" s="1"/>
  <c r="AQ342"/>
  <c r="AP342"/>
  <c r="AY342" s="1"/>
  <c r="BQ342" s="1"/>
  <c r="AO342"/>
  <c r="AN342"/>
  <c r="AW342" s="1"/>
  <c r="BO342" s="1"/>
  <c r="AM342"/>
  <c r="AL342"/>
  <c r="AU342" s="1"/>
  <c r="BM342" s="1"/>
  <c r="AK342"/>
  <c r="AH342"/>
  <c r="AG342"/>
  <c r="AF342"/>
  <c r="BB342" s="1"/>
  <c r="BS342" s="1"/>
  <c r="K342"/>
  <c r="J342"/>
  <c r="L342" s="1"/>
  <c r="BK341"/>
  <c r="BJ341"/>
  <c r="BI341"/>
  <c r="BH341"/>
  <c r="BG341"/>
  <c r="BF341"/>
  <c r="BE341"/>
  <c r="BD341"/>
  <c r="BC341"/>
  <c r="AX341"/>
  <c r="BP341" s="1"/>
  <c r="AV341"/>
  <c r="BN341" s="1"/>
  <c r="AT341"/>
  <c r="BL341" s="1"/>
  <c r="AS341"/>
  <c r="AR341"/>
  <c r="BA341" s="1"/>
  <c r="AQ341"/>
  <c r="AP341"/>
  <c r="AY341" s="1"/>
  <c r="BQ341" s="1"/>
  <c r="AO341"/>
  <c r="AN341"/>
  <c r="AW341" s="1"/>
  <c r="BO341" s="1"/>
  <c r="AM341"/>
  <c r="AL341"/>
  <c r="AU341" s="1"/>
  <c r="BM341" s="1"/>
  <c r="AK341"/>
  <c r="AH341"/>
  <c r="AG341"/>
  <c r="AF341"/>
  <c r="BB341" s="1"/>
  <c r="BS341" s="1"/>
  <c r="K341"/>
  <c r="J341"/>
  <c r="L341" s="1"/>
  <c r="BK340"/>
  <c r="BJ340"/>
  <c r="BI340"/>
  <c r="BH340"/>
  <c r="BG340"/>
  <c r="BF340"/>
  <c r="BE340"/>
  <c r="BD340"/>
  <c r="BC340"/>
  <c r="AX340"/>
  <c r="BP340" s="1"/>
  <c r="AV340"/>
  <c r="BN340" s="1"/>
  <c r="AT340"/>
  <c r="BL340" s="1"/>
  <c r="AS340"/>
  <c r="AR340"/>
  <c r="BA340" s="1"/>
  <c r="AQ340"/>
  <c r="AP340"/>
  <c r="AY340" s="1"/>
  <c r="BQ340" s="1"/>
  <c r="AO340"/>
  <c r="AN340"/>
  <c r="AW340" s="1"/>
  <c r="BO340" s="1"/>
  <c r="AM340"/>
  <c r="AL340"/>
  <c r="AU340" s="1"/>
  <c r="BM340" s="1"/>
  <c r="AK340"/>
  <c r="AH340"/>
  <c r="AG340"/>
  <c r="AF340"/>
  <c r="BB340" s="1"/>
  <c r="BS340" s="1"/>
  <c r="K340"/>
  <c r="J340"/>
  <c r="L340" s="1"/>
  <c r="BK338"/>
  <c r="BJ338"/>
  <c r="BI338"/>
  <c r="BH338"/>
  <c r="BG338"/>
  <c r="BF338"/>
  <c r="BE338"/>
  <c r="BD338"/>
  <c r="BC338"/>
  <c r="AX338"/>
  <c r="BP338" s="1"/>
  <c r="AV338"/>
  <c r="BN338" s="1"/>
  <c r="AT338"/>
  <c r="BL338" s="1"/>
  <c r="AS338"/>
  <c r="AR338"/>
  <c r="BA338" s="1"/>
  <c r="AQ338"/>
  <c r="AP338"/>
  <c r="AY338" s="1"/>
  <c r="BQ338" s="1"/>
  <c r="AO338"/>
  <c r="AN338"/>
  <c r="AW338" s="1"/>
  <c r="BO338" s="1"/>
  <c r="AM338"/>
  <c r="AL338"/>
  <c r="AU338" s="1"/>
  <c r="BM338" s="1"/>
  <c r="AK338"/>
  <c r="AH338"/>
  <c r="AG338"/>
  <c r="AF338"/>
  <c r="BB338" s="1"/>
  <c r="BS338" s="1"/>
  <c r="K338"/>
  <c r="J338"/>
  <c r="L338" s="1"/>
  <c r="BK337"/>
  <c r="BJ337"/>
  <c r="BI337"/>
  <c r="BH337"/>
  <c r="BG337"/>
  <c r="BF337"/>
  <c r="BE337"/>
  <c r="BD337"/>
  <c r="BC337"/>
  <c r="AX337"/>
  <c r="BP337" s="1"/>
  <c r="AV337"/>
  <c r="BN337" s="1"/>
  <c r="AT337"/>
  <c r="BL337" s="1"/>
  <c r="AS337"/>
  <c r="AR337"/>
  <c r="BA337" s="1"/>
  <c r="AQ337"/>
  <c r="AP337"/>
  <c r="AY337" s="1"/>
  <c r="BQ337" s="1"/>
  <c r="AO337"/>
  <c r="AN337"/>
  <c r="AW337" s="1"/>
  <c r="BO337" s="1"/>
  <c r="AM337"/>
  <c r="AL337"/>
  <c r="AU337" s="1"/>
  <c r="BM337" s="1"/>
  <c r="AK337"/>
  <c r="AH337"/>
  <c r="AG337"/>
  <c r="AF337"/>
  <c r="BB337" s="1"/>
  <c r="BS337" s="1"/>
  <c r="K337"/>
  <c r="J337"/>
  <c r="L337" s="1"/>
  <c r="BK336"/>
  <c r="BJ336"/>
  <c r="BI336"/>
  <c r="BH336"/>
  <c r="BG336"/>
  <c r="BF336"/>
  <c r="BE336"/>
  <c r="BD336"/>
  <c r="BC336"/>
  <c r="AX336"/>
  <c r="BP336" s="1"/>
  <c r="AV336"/>
  <c r="BN336" s="1"/>
  <c r="AT336"/>
  <c r="BL336" s="1"/>
  <c r="AS336"/>
  <c r="AR336"/>
  <c r="BA336" s="1"/>
  <c r="AQ336"/>
  <c r="AP336"/>
  <c r="AY336" s="1"/>
  <c r="BQ336" s="1"/>
  <c r="AO336"/>
  <c r="AN336"/>
  <c r="AW336" s="1"/>
  <c r="BO336" s="1"/>
  <c r="AM336"/>
  <c r="AL336"/>
  <c r="AU336" s="1"/>
  <c r="BM336" s="1"/>
  <c r="AK336"/>
  <c r="AH336"/>
  <c r="AG336"/>
  <c r="AF336"/>
  <c r="BB336" s="1"/>
  <c r="BS336" s="1"/>
  <c r="K336"/>
  <c r="J336"/>
  <c r="L336" s="1"/>
  <c r="BK335"/>
  <c r="BJ335"/>
  <c r="BI335"/>
  <c r="BH335"/>
  <c r="BG335"/>
  <c r="BF335"/>
  <c r="BE335"/>
  <c r="BD335"/>
  <c r="BC335"/>
  <c r="AX335"/>
  <c r="BP335" s="1"/>
  <c r="AV335"/>
  <c r="BN335" s="1"/>
  <c r="AT335"/>
  <c r="BL335" s="1"/>
  <c r="AS335"/>
  <c r="AR335"/>
  <c r="BA335" s="1"/>
  <c r="AQ335"/>
  <c r="AP335"/>
  <c r="AY335" s="1"/>
  <c r="BQ335" s="1"/>
  <c r="AO335"/>
  <c r="AN335"/>
  <c r="AW335" s="1"/>
  <c r="BO335" s="1"/>
  <c r="AM335"/>
  <c r="AL335"/>
  <c r="AU335" s="1"/>
  <c r="BM335" s="1"/>
  <c r="AK335"/>
  <c r="AH335"/>
  <c r="AG335"/>
  <c r="AF335"/>
  <c r="BB335" s="1"/>
  <c r="BS335" s="1"/>
  <c r="K335"/>
  <c r="J335"/>
  <c r="L335" s="1"/>
  <c r="BK334"/>
  <c r="BJ334"/>
  <c r="BI334"/>
  <c r="BH334"/>
  <c r="BG334"/>
  <c r="BF334"/>
  <c r="BE334"/>
  <c r="BD334"/>
  <c r="BC334"/>
  <c r="AX334"/>
  <c r="BP334" s="1"/>
  <c r="AV334"/>
  <c r="BN334" s="1"/>
  <c r="AT334"/>
  <c r="BL334" s="1"/>
  <c r="AS334"/>
  <c r="AR334"/>
  <c r="BA334" s="1"/>
  <c r="AQ334"/>
  <c r="AP334"/>
  <c r="AY334" s="1"/>
  <c r="BQ334" s="1"/>
  <c r="AO334"/>
  <c r="AN334"/>
  <c r="AW334" s="1"/>
  <c r="BO334" s="1"/>
  <c r="AM334"/>
  <c r="AL334"/>
  <c r="AU334" s="1"/>
  <c r="BM334" s="1"/>
  <c r="AK334"/>
  <c r="AH334"/>
  <c r="AG334"/>
  <c r="AF334"/>
  <c r="BB334" s="1"/>
  <c r="BS334" s="1"/>
  <c r="K334"/>
  <c r="J334"/>
  <c r="L334" s="1"/>
  <c r="BK333"/>
  <c r="BJ333"/>
  <c r="BI333"/>
  <c r="BH333"/>
  <c r="BG333"/>
  <c r="BF333"/>
  <c r="BE333"/>
  <c r="BD333"/>
  <c r="BC333"/>
  <c r="AX333"/>
  <c r="BP333" s="1"/>
  <c r="AV333"/>
  <c r="BN333" s="1"/>
  <c r="AT333"/>
  <c r="BL333" s="1"/>
  <c r="AS333"/>
  <c r="AR333"/>
  <c r="BA333" s="1"/>
  <c r="AQ333"/>
  <c r="AP333"/>
  <c r="AY333" s="1"/>
  <c r="BQ333" s="1"/>
  <c r="AO333"/>
  <c r="AN333"/>
  <c r="AW333" s="1"/>
  <c r="BO333" s="1"/>
  <c r="AM333"/>
  <c r="AL333"/>
  <c r="AU333" s="1"/>
  <c r="BM333" s="1"/>
  <c r="AK333"/>
  <c r="AH333"/>
  <c r="AG333"/>
  <c r="AF333"/>
  <c r="BB333" s="1"/>
  <c r="BS333" s="1"/>
  <c r="K333"/>
  <c r="J333"/>
  <c r="L333" s="1"/>
  <c r="BK332"/>
  <c r="BJ332"/>
  <c r="BI332"/>
  <c r="BH332"/>
  <c r="BG332"/>
  <c r="BF332"/>
  <c r="BE332"/>
  <c r="BD332"/>
  <c r="BC332"/>
  <c r="AX332"/>
  <c r="BP332" s="1"/>
  <c r="AV332"/>
  <c r="BN332" s="1"/>
  <c r="AT332"/>
  <c r="BL332" s="1"/>
  <c r="AS332"/>
  <c r="AR332"/>
  <c r="BA332" s="1"/>
  <c r="AQ332"/>
  <c r="AP332"/>
  <c r="AY332" s="1"/>
  <c r="BQ332" s="1"/>
  <c r="AO332"/>
  <c r="AN332"/>
  <c r="AW332" s="1"/>
  <c r="BO332" s="1"/>
  <c r="AM332"/>
  <c r="AL332"/>
  <c r="AU332" s="1"/>
  <c r="BM332" s="1"/>
  <c r="AK332"/>
  <c r="AH332"/>
  <c r="AG332"/>
  <c r="AF332"/>
  <c r="BB332" s="1"/>
  <c r="BS332" s="1"/>
  <c r="K332"/>
  <c r="J332"/>
  <c r="L332" s="1"/>
  <c r="O331"/>
  <c r="N331"/>
  <c r="BK329"/>
  <c r="BJ329"/>
  <c r="BI329"/>
  <c r="BH329"/>
  <c r="BG329"/>
  <c r="BF329"/>
  <c r="BE329"/>
  <c r="BD329"/>
  <c r="BC329"/>
  <c r="AX329"/>
  <c r="BP329" s="1"/>
  <c r="AV329"/>
  <c r="BN329" s="1"/>
  <c r="AT329"/>
  <c r="BL329" s="1"/>
  <c r="AS329"/>
  <c r="AR329"/>
  <c r="BA329" s="1"/>
  <c r="AQ329"/>
  <c r="AP329"/>
  <c r="AY329" s="1"/>
  <c r="BQ329" s="1"/>
  <c r="AO329"/>
  <c r="AN329"/>
  <c r="AW329" s="1"/>
  <c r="BO329" s="1"/>
  <c r="AM329"/>
  <c r="AL329"/>
  <c r="AU329" s="1"/>
  <c r="BM329" s="1"/>
  <c r="AK329"/>
  <c r="AH329"/>
  <c r="AG329"/>
  <c r="AF329"/>
  <c r="BB329" s="1"/>
  <c r="BS329" s="1"/>
  <c r="K329"/>
  <c r="J329"/>
  <c r="L329" s="1"/>
  <c r="BK328"/>
  <c r="BJ328"/>
  <c r="BI328"/>
  <c r="BH328"/>
  <c r="BG328"/>
  <c r="BF328"/>
  <c r="BE328"/>
  <c r="BD328"/>
  <c r="BC328"/>
  <c r="AX328"/>
  <c r="BP328" s="1"/>
  <c r="AV328"/>
  <c r="BN328" s="1"/>
  <c r="AT328"/>
  <c r="BL328" s="1"/>
  <c r="AS328"/>
  <c r="AR328"/>
  <c r="BA328" s="1"/>
  <c r="AQ328"/>
  <c r="AP328"/>
  <c r="AY328" s="1"/>
  <c r="BQ328" s="1"/>
  <c r="AO328"/>
  <c r="AN328"/>
  <c r="AW328" s="1"/>
  <c r="BO328" s="1"/>
  <c r="AM328"/>
  <c r="AL328"/>
  <c r="AU328" s="1"/>
  <c r="BM328" s="1"/>
  <c r="AK328"/>
  <c r="AH328"/>
  <c r="AG328"/>
  <c r="AF328"/>
  <c r="BB328" s="1"/>
  <c r="BS328" s="1"/>
  <c r="K328"/>
  <c r="J328"/>
  <c r="L328" s="1"/>
  <c r="BK327"/>
  <c r="BJ327"/>
  <c r="BI327"/>
  <c r="BH327"/>
  <c r="BG327"/>
  <c r="BF327"/>
  <c r="BE327"/>
  <c r="BD327"/>
  <c r="BC327"/>
  <c r="AX327"/>
  <c r="BP327" s="1"/>
  <c r="AV327"/>
  <c r="BN327" s="1"/>
  <c r="AT327"/>
  <c r="BL327" s="1"/>
  <c r="AS327"/>
  <c r="AR327"/>
  <c r="BA327" s="1"/>
  <c r="AQ327"/>
  <c r="AP327"/>
  <c r="AY327" s="1"/>
  <c r="BQ327" s="1"/>
  <c r="AO327"/>
  <c r="AN327"/>
  <c r="AW327" s="1"/>
  <c r="BO327" s="1"/>
  <c r="AM327"/>
  <c r="AL327"/>
  <c r="AU327" s="1"/>
  <c r="BM327" s="1"/>
  <c r="AK327"/>
  <c r="AH327"/>
  <c r="AG327"/>
  <c r="AF327"/>
  <c r="BB327" s="1"/>
  <c r="BS327" s="1"/>
  <c r="K327"/>
  <c r="J327"/>
  <c r="L327" s="1"/>
  <c r="BK326"/>
  <c r="BJ326"/>
  <c r="BI326"/>
  <c r="BH326"/>
  <c r="BG326"/>
  <c r="BF326"/>
  <c r="BE326"/>
  <c r="BD326"/>
  <c r="BC326"/>
  <c r="AX326"/>
  <c r="BP326" s="1"/>
  <c r="AV326"/>
  <c r="BN326" s="1"/>
  <c r="AT326"/>
  <c r="BL326" s="1"/>
  <c r="AS326"/>
  <c r="AR326"/>
  <c r="BA326" s="1"/>
  <c r="AQ326"/>
  <c r="AP326"/>
  <c r="AY326" s="1"/>
  <c r="BQ326" s="1"/>
  <c r="AO326"/>
  <c r="AN326"/>
  <c r="AW326" s="1"/>
  <c r="BO326" s="1"/>
  <c r="AM326"/>
  <c r="AL326"/>
  <c r="AU326" s="1"/>
  <c r="BM326" s="1"/>
  <c r="AK326"/>
  <c r="AH326"/>
  <c r="AG326"/>
  <c r="AF326"/>
  <c r="BB326" s="1"/>
  <c r="BS326" s="1"/>
  <c r="K326"/>
  <c r="J326"/>
  <c r="L326" s="1"/>
  <c r="BK325"/>
  <c r="BJ325"/>
  <c r="BI325"/>
  <c r="BH325"/>
  <c r="BG325"/>
  <c r="BF325"/>
  <c r="BE325"/>
  <c r="BD325"/>
  <c r="BC325"/>
  <c r="AX325"/>
  <c r="BP325" s="1"/>
  <c r="AV325"/>
  <c r="BN325" s="1"/>
  <c r="AT325"/>
  <c r="BL325" s="1"/>
  <c r="AS325"/>
  <c r="AR325"/>
  <c r="BA325" s="1"/>
  <c r="AQ325"/>
  <c r="AP325"/>
  <c r="AY325" s="1"/>
  <c r="BQ325" s="1"/>
  <c r="AO325"/>
  <c r="AN325"/>
  <c r="AW325" s="1"/>
  <c r="BO325" s="1"/>
  <c r="AM325"/>
  <c r="AL325"/>
  <c r="AU325" s="1"/>
  <c r="BM325" s="1"/>
  <c r="AK325"/>
  <c r="AH325"/>
  <c r="AG325"/>
  <c r="AF325"/>
  <c r="BB325" s="1"/>
  <c r="BS325" s="1"/>
  <c r="K325"/>
  <c r="J325"/>
  <c r="L325" s="1"/>
  <c r="L344" s="1"/>
  <c r="O324"/>
  <c r="N324"/>
  <c r="N323"/>
  <c r="BK316"/>
  <c r="BJ316"/>
  <c r="BI316"/>
  <c r="BH316"/>
  <c r="BG316"/>
  <c r="BF316"/>
  <c r="BE316"/>
  <c r="BD316"/>
  <c r="BC316"/>
  <c r="AY316"/>
  <c r="BQ316" s="1"/>
  <c r="AW316"/>
  <c r="BO316" s="1"/>
  <c r="AU316"/>
  <c r="BM316" s="1"/>
  <c r="AS316"/>
  <c r="BB316" s="1"/>
  <c r="BS316" s="1"/>
  <c r="AR316"/>
  <c r="AQ316"/>
  <c r="AZ316" s="1"/>
  <c r="BR316" s="1"/>
  <c r="AP316"/>
  <c r="AO316"/>
  <c r="AX316" s="1"/>
  <c r="BP316" s="1"/>
  <c r="AN316"/>
  <c r="AM316"/>
  <c r="AV316" s="1"/>
  <c r="BN316" s="1"/>
  <c r="AL316"/>
  <c r="AK316"/>
  <c r="AT316" s="1"/>
  <c r="BL316" s="1"/>
  <c r="AH316"/>
  <c r="AG316"/>
  <c r="BA316" s="1"/>
  <c r="AF316"/>
  <c r="J316"/>
  <c r="L316" s="1"/>
  <c r="BK315"/>
  <c r="BJ315"/>
  <c r="BI315"/>
  <c r="BH315"/>
  <c r="BG315"/>
  <c r="BF315"/>
  <c r="BE315"/>
  <c r="BD315"/>
  <c r="BC315"/>
  <c r="AY315"/>
  <c r="BQ315" s="1"/>
  <c r="AW315"/>
  <c r="BO315" s="1"/>
  <c r="AU315"/>
  <c r="BM315" s="1"/>
  <c r="AS315"/>
  <c r="BB315" s="1"/>
  <c r="BS315" s="1"/>
  <c r="AR315"/>
  <c r="AQ315"/>
  <c r="AZ315" s="1"/>
  <c r="BR315" s="1"/>
  <c r="AP315"/>
  <c r="AO315"/>
  <c r="AX315" s="1"/>
  <c r="BP315" s="1"/>
  <c r="AN315"/>
  <c r="AM315"/>
  <c r="AV315" s="1"/>
  <c r="BN315" s="1"/>
  <c r="AL315"/>
  <c r="AK315"/>
  <c r="AT315" s="1"/>
  <c r="BL315" s="1"/>
  <c r="AH315"/>
  <c r="AG315"/>
  <c r="BA315" s="1"/>
  <c r="AF315"/>
  <c r="J315"/>
  <c r="L315" s="1"/>
  <c r="BK314"/>
  <c r="BJ314"/>
  <c r="BI314"/>
  <c r="BH314"/>
  <c r="BG314"/>
  <c r="BF314"/>
  <c r="BE314"/>
  <c r="BD314"/>
  <c r="BC314"/>
  <c r="AY314"/>
  <c r="BQ314" s="1"/>
  <c r="AW314"/>
  <c r="BO314" s="1"/>
  <c r="AU314"/>
  <c r="BM314" s="1"/>
  <c r="AS314"/>
  <c r="BB314" s="1"/>
  <c r="BS314" s="1"/>
  <c r="AR314"/>
  <c r="AQ314"/>
  <c r="AZ314" s="1"/>
  <c r="BR314" s="1"/>
  <c r="AP314"/>
  <c r="AO314"/>
  <c r="AX314" s="1"/>
  <c r="BP314" s="1"/>
  <c r="AN314"/>
  <c r="AM314"/>
  <c r="AV314" s="1"/>
  <c r="BN314" s="1"/>
  <c r="AL314"/>
  <c r="AK314"/>
  <c r="AT314" s="1"/>
  <c r="BL314" s="1"/>
  <c r="AH314"/>
  <c r="AG314"/>
  <c r="BA314" s="1"/>
  <c r="AF314"/>
  <c r="J314"/>
  <c r="L314" s="1"/>
  <c r="BK313"/>
  <c r="BJ313"/>
  <c r="BI313"/>
  <c r="BH313"/>
  <c r="BG313"/>
  <c r="BF313"/>
  <c r="BE313"/>
  <c r="BD313"/>
  <c r="BC313"/>
  <c r="AY313"/>
  <c r="BQ313" s="1"/>
  <c r="AW313"/>
  <c r="BO313" s="1"/>
  <c r="AU313"/>
  <c r="BM313" s="1"/>
  <c r="AS313"/>
  <c r="BB313" s="1"/>
  <c r="BS313" s="1"/>
  <c r="AR313"/>
  <c r="AQ313"/>
  <c r="AZ313" s="1"/>
  <c r="BR313" s="1"/>
  <c r="AP313"/>
  <c r="AO313"/>
  <c r="AX313" s="1"/>
  <c r="BP313" s="1"/>
  <c r="AN313"/>
  <c r="AM313"/>
  <c r="AV313" s="1"/>
  <c r="BN313" s="1"/>
  <c r="AL313"/>
  <c r="AK313"/>
  <c r="AT313" s="1"/>
  <c r="BL313" s="1"/>
  <c r="AH313"/>
  <c r="AG313"/>
  <c r="BA313" s="1"/>
  <c r="AF313"/>
  <c r="J313"/>
  <c r="L313" s="1"/>
  <c r="BK311"/>
  <c r="BJ311"/>
  <c r="BI311"/>
  <c r="BH311"/>
  <c r="BG311"/>
  <c r="BF311"/>
  <c r="BE311"/>
  <c r="BD311"/>
  <c r="BC311"/>
  <c r="AY311"/>
  <c r="BQ311" s="1"/>
  <c r="AW311"/>
  <c r="BO311" s="1"/>
  <c r="AU311"/>
  <c r="BM311" s="1"/>
  <c r="AS311"/>
  <c r="BB311" s="1"/>
  <c r="BS311" s="1"/>
  <c r="AR311"/>
  <c r="AQ311"/>
  <c r="AZ311" s="1"/>
  <c r="BR311" s="1"/>
  <c r="AP311"/>
  <c r="AO311"/>
  <c r="AX311" s="1"/>
  <c r="BP311" s="1"/>
  <c r="AN311"/>
  <c r="AM311"/>
  <c r="AV311" s="1"/>
  <c r="BN311" s="1"/>
  <c r="AL311"/>
  <c r="AK311"/>
  <c r="AT311" s="1"/>
  <c r="BL311" s="1"/>
  <c r="AH311"/>
  <c r="AG311"/>
  <c r="BA311" s="1"/>
  <c r="AF311"/>
  <c r="J311"/>
  <c r="L311" s="1"/>
  <c r="BK310"/>
  <c r="BJ310"/>
  <c r="BI310"/>
  <c r="BH310"/>
  <c r="BG310"/>
  <c r="BF310"/>
  <c r="BE310"/>
  <c r="BD310"/>
  <c r="BC310"/>
  <c r="AY310"/>
  <c r="BQ310" s="1"/>
  <c r="AW310"/>
  <c r="BO310" s="1"/>
  <c r="AU310"/>
  <c r="BM310" s="1"/>
  <c r="AS310"/>
  <c r="BB310" s="1"/>
  <c r="BS310" s="1"/>
  <c r="AR310"/>
  <c r="AQ310"/>
  <c r="AZ310" s="1"/>
  <c r="BR310" s="1"/>
  <c r="AP310"/>
  <c r="AO310"/>
  <c r="AX310" s="1"/>
  <c r="BP310" s="1"/>
  <c r="AN310"/>
  <c r="AM310"/>
  <c r="AV310" s="1"/>
  <c r="BN310" s="1"/>
  <c r="AL310"/>
  <c r="AK310"/>
  <c r="AT310" s="1"/>
  <c r="BL310" s="1"/>
  <c r="AH310"/>
  <c r="AG310"/>
  <c r="BA310" s="1"/>
  <c r="AF310"/>
  <c r="J310"/>
  <c r="L310" s="1"/>
  <c r="BK309"/>
  <c r="BJ309"/>
  <c r="BI309"/>
  <c r="BH309"/>
  <c r="BG309"/>
  <c r="BF309"/>
  <c r="BE309"/>
  <c r="BD309"/>
  <c r="BC309"/>
  <c r="AY309"/>
  <c r="BQ309" s="1"/>
  <c r="AW309"/>
  <c r="BO309" s="1"/>
  <c r="AU309"/>
  <c r="BM309" s="1"/>
  <c r="AS309"/>
  <c r="BB309" s="1"/>
  <c r="BS309" s="1"/>
  <c r="AR309"/>
  <c r="AQ309"/>
  <c r="AZ309" s="1"/>
  <c r="BR309" s="1"/>
  <c r="AP309"/>
  <c r="AO309"/>
  <c r="AX309" s="1"/>
  <c r="BP309" s="1"/>
  <c r="AN309"/>
  <c r="AM309"/>
  <c r="AV309" s="1"/>
  <c r="BN309" s="1"/>
  <c r="AL309"/>
  <c r="AK309"/>
  <c r="AT309" s="1"/>
  <c r="BL309" s="1"/>
  <c r="AH309"/>
  <c r="AG309"/>
  <c r="BA309" s="1"/>
  <c r="AF309"/>
  <c r="J309"/>
  <c r="L309" s="1"/>
  <c r="BK308"/>
  <c r="BJ308"/>
  <c r="BI308"/>
  <c r="BH308"/>
  <c r="BG308"/>
  <c r="BF308"/>
  <c r="BE308"/>
  <c r="BD308"/>
  <c r="BC308"/>
  <c r="AY308"/>
  <c r="BQ308" s="1"/>
  <c r="AW308"/>
  <c r="BO308" s="1"/>
  <c r="AU308"/>
  <c r="BM308" s="1"/>
  <c r="AS308"/>
  <c r="BB308" s="1"/>
  <c r="BS308" s="1"/>
  <c r="AR308"/>
  <c r="AQ308"/>
  <c r="AZ308" s="1"/>
  <c r="BR308" s="1"/>
  <c r="AP308"/>
  <c r="AO308"/>
  <c r="AX308" s="1"/>
  <c r="BP308" s="1"/>
  <c r="AN308"/>
  <c r="AM308"/>
  <c r="AV308" s="1"/>
  <c r="BN308" s="1"/>
  <c r="AL308"/>
  <c r="AK308"/>
  <c r="AT308" s="1"/>
  <c r="BL308" s="1"/>
  <c r="AH308"/>
  <c r="AG308"/>
  <c r="BA308" s="1"/>
  <c r="AF308"/>
  <c r="J308"/>
  <c r="L308" s="1"/>
  <c r="BK307"/>
  <c r="BJ307"/>
  <c r="BI307"/>
  <c r="BH307"/>
  <c r="BG307"/>
  <c r="BF307"/>
  <c r="BE307"/>
  <c r="BD307"/>
  <c r="BC307"/>
  <c r="AY307"/>
  <c r="BQ307" s="1"/>
  <c r="AW307"/>
  <c r="BO307" s="1"/>
  <c r="AU307"/>
  <c r="BM307" s="1"/>
  <c r="AS307"/>
  <c r="BB307" s="1"/>
  <c r="BS307" s="1"/>
  <c r="AR307"/>
  <c r="AQ307"/>
  <c r="AZ307" s="1"/>
  <c r="BR307" s="1"/>
  <c r="AP307"/>
  <c r="AO307"/>
  <c r="AX307" s="1"/>
  <c r="BP307" s="1"/>
  <c r="AN307"/>
  <c r="AM307"/>
  <c r="AV307" s="1"/>
  <c r="BN307" s="1"/>
  <c r="AL307"/>
  <c r="AK307"/>
  <c r="AT307" s="1"/>
  <c r="BL307" s="1"/>
  <c r="AH307"/>
  <c r="AG307"/>
  <c r="BA307" s="1"/>
  <c r="AF307"/>
  <c r="J307"/>
  <c r="L307" s="1"/>
  <c r="BK306"/>
  <c r="BJ306"/>
  <c r="BI306"/>
  <c r="BH306"/>
  <c r="BG306"/>
  <c r="BF306"/>
  <c r="BE306"/>
  <c r="BD306"/>
  <c r="BC306"/>
  <c r="AY306"/>
  <c r="BQ306" s="1"/>
  <c r="AW306"/>
  <c r="BO306" s="1"/>
  <c r="AU306"/>
  <c r="BM306" s="1"/>
  <c r="AS306"/>
  <c r="BB306" s="1"/>
  <c r="BS306" s="1"/>
  <c r="AR306"/>
  <c r="AQ306"/>
  <c r="AZ306" s="1"/>
  <c r="BR306" s="1"/>
  <c r="AP306"/>
  <c r="AO306"/>
  <c r="AX306" s="1"/>
  <c r="BP306" s="1"/>
  <c r="AN306"/>
  <c r="AM306"/>
  <c r="AV306" s="1"/>
  <c r="BN306" s="1"/>
  <c r="AL306"/>
  <c r="AK306"/>
  <c r="AT306" s="1"/>
  <c r="BL306" s="1"/>
  <c r="AH306"/>
  <c r="AG306"/>
  <c r="BA306" s="1"/>
  <c r="AF306"/>
  <c r="J306"/>
  <c r="L306" s="1"/>
  <c r="BK305"/>
  <c r="BJ305"/>
  <c r="BI305"/>
  <c r="BH305"/>
  <c r="BG305"/>
  <c r="BF305"/>
  <c r="BE305"/>
  <c r="BD305"/>
  <c r="BC305"/>
  <c r="AY305"/>
  <c r="BQ305" s="1"/>
  <c r="AW305"/>
  <c r="BO305" s="1"/>
  <c r="AU305"/>
  <c r="BM305" s="1"/>
  <c r="AS305"/>
  <c r="BB305" s="1"/>
  <c r="BS305" s="1"/>
  <c r="AR305"/>
  <c r="AQ305"/>
  <c r="AZ305" s="1"/>
  <c r="BR305" s="1"/>
  <c r="AP305"/>
  <c r="AO305"/>
  <c r="AX305" s="1"/>
  <c r="BP305" s="1"/>
  <c r="AN305"/>
  <c r="AM305"/>
  <c r="AV305" s="1"/>
  <c r="BN305" s="1"/>
  <c r="AL305"/>
  <c r="AK305"/>
  <c r="AT305" s="1"/>
  <c r="BL305" s="1"/>
  <c r="AH305"/>
  <c r="AG305"/>
  <c r="BA305" s="1"/>
  <c r="AF305"/>
  <c r="J305"/>
  <c r="L305" s="1"/>
  <c r="O304"/>
  <c r="N304"/>
  <c r="BK302"/>
  <c r="BJ302"/>
  <c r="BI302"/>
  <c r="BH302"/>
  <c r="BG302"/>
  <c r="BF302"/>
  <c r="BE302"/>
  <c r="BD302"/>
  <c r="BC302"/>
  <c r="AY302"/>
  <c r="BQ302" s="1"/>
  <c r="AW302"/>
  <c r="BO302" s="1"/>
  <c r="AU302"/>
  <c r="BM302" s="1"/>
  <c r="AS302"/>
  <c r="BB302" s="1"/>
  <c r="BS302" s="1"/>
  <c r="AR302"/>
  <c r="AQ302"/>
  <c r="AZ302" s="1"/>
  <c r="BR302" s="1"/>
  <c r="AP302"/>
  <c r="AO302"/>
  <c r="AX302" s="1"/>
  <c r="BP302" s="1"/>
  <c r="AN302"/>
  <c r="AM302"/>
  <c r="AV302" s="1"/>
  <c r="BN302" s="1"/>
  <c r="AL302"/>
  <c r="AK302"/>
  <c r="AT302" s="1"/>
  <c r="BL302" s="1"/>
  <c r="AH302"/>
  <c r="AG302"/>
  <c r="BA302" s="1"/>
  <c r="AF302"/>
  <c r="J302"/>
  <c r="L302" s="1"/>
  <c r="BK301"/>
  <c r="BJ301"/>
  <c r="BI301"/>
  <c r="BH301"/>
  <c r="BG301"/>
  <c r="BF301"/>
  <c r="BE301"/>
  <c r="BD301"/>
  <c r="BC301"/>
  <c r="AY301"/>
  <c r="BQ301" s="1"/>
  <c r="AW301"/>
  <c r="BO301" s="1"/>
  <c r="AU301"/>
  <c r="BM301" s="1"/>
  <c r="AS301"/>
  <c r="BB301" s="1"/>
  <c r="BS301" s="1"/>
  <c r="AR301"/>
  <c r="AQ301"/>
  <c r="AZ301" s="1"/>
  <c r="BR301" s="1"/>
  <c r="AP301"/>
  <c r="AO301"/>
  <c r="AX301" s="1"/>
  <c r="BP301" s="1"/>
  <c r="AN301"/>
  <c r="AM301"/>
  <c r="AV301" s="1"/>
  <c r="BN301" s="1"/>
  <c r="AL301"/>
  <c r="AK301"/>
  <c r="AT301" s="1"/>
  <c r="BL301" s="1"/>
  <c r="AH301"/>
  <c r="AG301"/>
  <c r="BA301" s="1"/>
  <c r="AF301"/>
  <c r="J301"/>
  <c r="L301" s="1"/>
  <c r="BK300"/>
  <c r="BJ300"/>
  <c r="BI300"/>
  <c r="BH300"/>
  <c r="BG300"/>
  <c r="BF300"/>
  <c r="BE300"/>
  <c r="BD300"/>
  <c r="BC300"/>
  <c r="AY300"/>
  <c r="BQ300" s="1"/>
  <c r="AW300"/>
  <c r="BO300" s="1"/>
  <c r="AU300"/>
  <c r="BM300" s="1"/>
  <c r="AS300"/>
  <c r="BB300" s="1"/>
  <c r="BS300" s="1"/>
  <c r="AR300"/>
  <c r="AQ300"/>
  <c r="AZ300" s="1"/>
  <c r="BR300" s="1"/>
  <c r="AP300"/>
  <c r="AO300"/>
  <c r="AX300" s="1"/>
  <c r="BP300" s="1"/>
  <c r="AN300"/>
  <c r="AM300"/>
  <c r="AV300" s="1"/>
  <c r="BN300" s="1"/>
  <c r="AL300"/>
  <c r="AK300"/>
  <c r="AT300" s="1"/>
  <c r="BL300" s="1"/>
  <c r="AH300"/>
  <c r="AG300"/>
  <c r="BA300" s="1"/>
  <c r="AF300"/>
  <c r="J300"/>
  <c r="L300" s="1"/>
  <c r="BK299"/>
  <c r="BJ299"/>
  <c r="BI299"/>
  <c r="BH299"/>
  <c r="BG299"/>
  <c r="BF299"/>
  <c r="BE299"/>
  <c r="BD299"/>
  <c r="BC299"/>
  <c r="AY299"/>
  <c r="BQ299" s="1"/>
  <c r="AW299"/>
  <c r="BO299" s="1"/>
  <c r="AU299"/>
  <c r="BM299" s="1"/>
  <c r="AS299"/>
  <c r="BB299" s="1"/>
  <c r="BS299" s="1"/>
  <c r="AR299"/>
  <c r="AQ299"/>
  <c r="AZ299" s="1"/>
  <c r="BR299" s="1"/>
  <c r="AP299"/>
  <c r="AO299"/>
  <c r="AX299" s="1"/>
  <c r="BP299" s="1"/>
  <c r="AN299"/>
  <c r="AM299"/>
  <c r="AV299" s="1"/>
  <c r="BN299" s="1"/>
  <c r="AL299"/>
  <c r="AK299"/>
  <c r="AT299" s="1"/>
  <c r="BL299" s="1"/>
  <c r="AH299"/>
  <c r="AG299"/>
  <c r="BA299" s="1"/>
  <c r="AF299"/>
  <c r="J299"/>
  <c r="L299" s="1"/>
  <c r="BK298"/>
  <c r="BJ298"/>
  <c r="BI298"/>
  <c r="BH298"/>
  <c r="BG298"/>
  <c r="BF298"/>
  <c r="BE298"/>
  <c r="BD298"/>
  <c r="BC298"/>
  <c r="AY298"/>
  <c r="BQ298" s="1"/>
  <c r="AW298"/>
  <c r="BO298" s="1"/>
  <c r="AU298"/>
  <c r="BM298" s="1"/>
  <c r="AS298"/>
  <c r="BB298" s="1"/>
  <c r="BS298" s="1"/>
  <c r="AR298"/>
  <c r="AQ298"/>
  <c r="AZ298" s="1"/>
  <c r="BR298" s="1"/>
  <c r="AP298"/>
  <c r="AO298"/>
  <c r="AX298" s="1"/>
  <c r="BP298" s="1"/>
  <c r="AN298"/>
  <c r="AM298"/>
  <c r="AV298" s="1"/>
  <c r="BN298" s="1"/>
  <c r="AL298"/>
  <c r="AK298"/>
  <c r="AT298" s="1"/>
  <c r="BL298" s="1"/>
  <c r="AH298"/>
  <c r="AG298"/>
  <c r="BA298" s="1"/>
  <c r="AF298"/>
  <c r="J298"/>
  <c r="L298" s="1"/>
  <c r="O297"/>
  <c r="N297"/>
  <c r="N296"/>
  <c r="BK289"/>
  <c r="BJ289"/>
  <c r="BI289"/>
  <c r="BH289"/>
  <c r="BG289"/>
  <c r="BF289"/>
  <c r="BE289"/>
  <c r="BD289"/>
  <c r="BC289"/>
  <c r="AX289"/>
  <c r="BP289" s="1"/>
  <c r="AV289"/>
  <c r="BN289" s="1"/>
  <c r="AT289"/>
  <c r="BL289" s="1"/>
  <c r="AS289"/>
  <c r="AR289"/>
  <c r="BA289" s="1"/>
  <c r="AQ289"/>
  <c r="AP289"/>
  <c r="AY289" s="1"/>
  <c r="BQ289" s="1"/>
  <c r="AO289"/>
  <c r="AN289"/>
  <c r="AW289" s="1"/>
  <c r="BO289" s="1"/>
  <c r="AM289"/>
  <c r="AL289"/>
  <c r="AU289" s="1"/>
  <c r="BM289" s="1"/>
  <c r="AK289"/>
  <c r="AH289"/>
  <c r="AG289"/>
  <c r="AF289"/>
  <c r="BB289" s="1"/>
  <c r="BS289" s="1"/>
  <c r="K289"/>
  <c r="J289"/>
  <c r="L289" s="1"/>
  <c r="BK288"/>
  <c r="BJ288"/>
  <c r="BI288"/>
  <c r="BH288"/>
  <c r="BG288"/>
  <c r="BF288"/>
  <c r="BE288"/>
  <c r="BD288"/>
  <c r="BC288"/>
  <c r="AX288"/>
  <c r="BP288" s="1"/>
  <c r="AV288"/>
  <c r="BN288" s="1"/>
  <c r="AT288"/>
  <c r="BL288" s="1"/>
  <c r="AS288"/>
  <c r="AR288"/>
  <c r="BA288" s="1"/>
  <c r="AQ288"/>
  <c r="AP288"/>
  <c r="AY288" s="1"/>
  <c r="BQ288" s="1"/>
  <c r="AO288"/>
  <c r="AN288"/>
  <c r="AW288" s="1"/>
  <c r="BO288" s="1"/>
  <c r="AM288"/>
  <c r="AL288"/>
  <c r="AU288" s="1"/>
  <c r="BM288" s="1"/>
  <c r="AK288"/>
  <c r="AH288"/>
  <c r="AG288"/>
  <c r="AF288"/>
  <c r="BB288" s="1"/>
  <c r="BS288" s="1"/>
  <c r="K288"/>
  <c r="J288"/>
  <c r="L288" s="1"/>
  <c r="BK287"/>
  <c r="BJ287"/>
  <c r="BI287"/>
  <c r="BH287"/>
  <c r="BG287"/>
  <c r="BF287"/>
  <c r="BE287"/>
  <c r="BD287"/>
  <c r="BC287"/>
  <c r="AX287"/>
  <c r="BP287" s="1"/>
  <c r="AV287"/>
  <c r="BN287" s="1"/>
  <c r="AT287"/>
  <c r="BL287" s="1"/>
  <c r="AS287"/>
  <c r="AR287"/>
  <c r="BA287" s="1"/>
  <c r="AQ287"/>
  <c r="AP287"/>
  <c r="AY287" s="1"/>
  <c r="BQ287" s="1"/>
  <c r="AO287"/>
  <c r="AN287"/>
  <c r="AW287" s="1"/>
  <c r="BO287" s="1"/>
  <c r="AM287"/>
  <c r="AL287"/>
  <c r="AU287" s="1"/>
  <c r="BM287" s="1"/>
  <c r="AK287"/>
  <c r="AH287"/>
  <c r="AG287"/>
  <c r="AF287"/>
  <c r="BB287" s="1"/>
  <c r="BS287" s="1"/>
  <c r="K287"/>
  <c r="J287"/>
  <c r="L287" s="1"/>
  <c r="BK286"/>
  <c r="BJ286"/>
  <c r="BI286"/>
  <c r="BH286"/>
  <c r="BG286"/>
  <c r="BF286"/>
  <c r="BE286"/>
  <c r="BD286"/>
  <c r="BC286"/>
  <c r="AX286"/>
  <c r="BP286" s="1"/>
  <c r="AV286"/>
  <c r="BN286" s="1"/>
  <c r="AT286"/>
  <c r="BL286" s="1"/>
  <c r="AS286"/>
  <c r="AR286"/>
  <c r="BA286" s="1"/>
  <c r="AQ286"/>
  <c r="AP286"/>
  <c r="AY286" s="1"/>
  <c r="BQ286" s="1"/>
  <c r="AO286"/>
  <c r="AN286"/>
  <c r="AW286" s="1"/>
  <c r="BO286" s="1"/>
  <c r="AM286"/>
  <c r="AL286"/>
  <c r="AU286" s="1"/>
  <c r="BM286" s="1"/>
  <c r="AK286"/>
  <c r="AH286"/>
  <c r="AG286"/>
  <c r="AF286"/>
  <c r="BB286" s="1"/>
  <c r="BS286" s="1"/>
  <c r="K286"/>
  <c r="J286"/>
  <c r="L286" s="1"/>
  <c r="BK284"/>
  <c r="BJ284"/>
  <c r="BI284"/>
  <c r="BH284"/>
  <c r="BG284"/>
  <c r="BF284"/>
  <c r="BE284"/>
  <c r="BD284"/>
  <c r="BC284"/>
  <c r="AX284"/>
  <c r="BP284" s="1"/>
  <c r="AV284"/>
  <c r="BN284" s="1"/>
  <c r="AT284"/>
  <c r="BL284" s="1"/>
  <c r="AS284"/>
  <c r="AR284"/>
  <c r="BA284" s="1"/>
  <c r="AQ284"/>
  <c r="AP284"/>
  <c r="AY284" s="1"/>
  <c r="BQ284" s="1"/>
  <c r="AO284"/>
  <c r="AN284"/>
  <c r="AW284" s="1"/>
  <c r="BO284" s="1"/>
  <c r="AM284"/>
  <c r="AL284"/>
  <c r="AU284" s="1"/>
  <c r="BM284" s="1"/>
  <c r="AK284"/>
  <c r="AH284"/>
  <c r="AG284"/>
  <c r="AF284"/>
  <c r="BB284" s="1"/>
  <c r="BS284" s="1"/>
  <c r="K284"/>
  <c r="J284"/>
  <c r="L284" s="1"/>
  <c r="BK283"/>
  <c r="BJ283"/>
  <c r="BI283"/>
  <c r="BH283"/>
  <c r="BG283"/>
  <c r="BF283"/>
  <c r="BE283"/>
  <c r="BD283"/>
  <c r="BC283"/>
  <c r="AX283"/>
  <c r="BP283" s="1"/>
  <c r="AV283"/>
  <c r="BN283" s="1"/>
  <c r="AT283"/>
  <c r="BL283" s="1"/>
  <c r="AS283"/>
  <c r="AR283"/>
  <c r="BA283" s="1"/>
  <c r="AQ283"/>
  <c r="AP283"/>
  <c r="AY283" s="1"/>
  <c r="BQ283" s="1"/>
  <c r="AO283"/>
  <c r="AN283"/>
  <c r="AW283" s="1"/>
  <c r="BO283" s="1"/>
  <c r="AM283"/>
  <c r="AL283"/>
  <c r="AU283" s="1"/>
  <c r="BM283" s="1"/>
  <c r="AK283"/>
  <c r="AH283"/>
  <c r="AG283"/>
  <c r="AF283"/>
  <c r="BB283" s="1"/>
  <c r="BS283" s="1"/>
  <c r="K283"/>
  <c r="J283"/>
  <c r="L283" s="1"/>
  <c r="BK282"/>
  <c r="BJ282"/>
  <c r="BI282"/>
  <c r="BH282"/>
  <c r="BG282"/>
  <c r="BF282"/>
  <c r="BE282"/>
  <c r="BD282"/>
  <c r="BC282"/>
  <c r="AX282"/>
  <c r="BP282" s="1"/>
  <c r="AV282"/>
  <c r="BN282" s="1"/>
  <c r="AT282"/>
  <c r="BL282" s="1"/>
  <c r="AS282"/>
  <c r="AR282"/>
  <c r="BA282" s="1"/>
  <c r="AQ282"/>
  <c r="AP282"/>
  <c r="AY282" s="1"/>
  <c r="BQ282" s="1"/>
  <c r="AO282"/>
  <c r="AN282"/>
  <c r="AW282" s="1"/>
  <c r="BO282" s="1"/>
  <c r="AM282"/>
  <c r="AL282"/>
  <c r="AU282" s="1"/>
  <c r="BM282" s="1"/>
  <c r="AK282"/>
  <c r="AH282"/>
  <c r="AG282"/>
  <c r="AF282"/>
  <c r="BB282" s="1"/>
  <c r="BS282" s="1"/>
  <c r="K282"/>
  <c r="J282"/>
  <c r="L282" s="1"/>
  <c r="BK281"/>
  <c r="BJ281"/>
  <c r="BI281"/>
  <c r="BH281"/>
  <c r="BG281"/>
  <c r="BF281"/>
  <c r="BE281"/>
  <c r="BD281"/>
  <c r="BC281"/>
  <c r="AX281"/>
  <c r="BP281" s="1"/>
  <c r="AV281"/>
  <c r="BN281" s="1"/>
  <c r="AT281"/>
  <c r="BL281" s="1"/>
  <c r="AS281"/>
  <c r="AR281"/>
  <c r="BA281" s="1"/>
  <c r="AQ281"/>
  <c r="AP281"/>
  <c r="AY281" s="1"/>
  <c r="BQ281" s="1"/>
  <c r="AO281"/>
  <c r="AN281"/>
  <c r="AW281" s="1"/>
  <c r="BO281" s="1"/>
  <c r="AM281"/>
  <c r="AL281"/>
  <c r="AU281" s="1"/>
  <c r="BM281" s="1"/>
  <c r="AK281"/>
  <c r="AH281"/>
  <c r="AG281"/>
  <c r="AF281"/>
  <c r="BB281" s="1"/>
  <c r="BS281" s="1"/>
  <c r="K281"/>
  <c r="J281"/>
  <c r="L281" s="1"/>
  <c r="BK280"/>
  <c r="BJ280"/>
  <c r="BI280"/>
  <c r="BH280"/>
  <c r="BG280"/>
  <c r="BF280"/>
  <c r="BE280"/>
  <c r="BD280"/>
  <c r="BC280"/>
  <c r="AX280"/>
  <c r="BP280" s="1"/>
  <c r="AV280"/>
  <c r="BN280" s="1"/>
  <c r="AT280"/>
  <c r="BL280" s="1"/>
  <c r="AS280"/>
  <c r="AR280"/>
  <c r="BA280" s="1"/>
  <c r="AQ280"/>
  <c r="AP280"/>
  <c r="AY280" s="1"/>
  <c r="BQ280" s="1"/>
  <c r="AO280"/>
  <c r="AN280"/>
  <c r="AW280" s="1"/>
  <c r="BO280" s="1"/>
  <c r="AM280"/>
  <c r="AL280"/>
  <c r="AU280" s="1"/>
  <c r="BM280" s="1"/>
  <c r="AK280"/>
  <c r="AH280"/>
  <c r="AG280"/>
  <c r="AF280"/>
  <c r="BB280" s="1"/>
  <c r="BS280" s="1"/>
  <c r="K280"/>
  <c r="J280"/>
  <c r="L280" s="1"/>
  <c r="BK279"/>
  <c r="BJ279"/>
  <c r="BI279"/>
  <c r="BH279"/>
  <c r="BG279"/>
  <c r="BF279"/>
  <c r="BE279"/>
  <c r="BD279"/>
  <c r="BC279"/>
  <c r="AX279"/>
  <c r="BP279" s="1"/>
  <c r="AV279"/>
  <c r="BN279" s="1"/>
  <c r="AT279"/>
  <c r="BL279" s="1"/>
  <c r="AS279"/>
  <c r="AR279"/>
  <c r="BA279" s="1"/>
  <c r="AQ279"/>
  <c r="AP279"/>
  <c r="AY279" s="1"/>
  <c r="BQ279" s="1"/>
  <c r="AO279"/>
  <c r="AN279"/>
  <c r="AW279" s="1"/>
  <c r="BO279" s="1"/>
  <c r="AM279"/>
  <c r="AL279"/>
  <c r="AU279" s="1"/>
  <c r="BM279" s="1"/>
  <c r="AK279"/>
  <c r="AH279"/>
  <c r="AG279"/>
  <c r="AF279"/>
  <c r="BB279" s="1"/>
  <c r="BS279" s="1"/>
  <c r="K279"/>
  <c r="J279"/>
  <c r="L279" s="1"/>
  <c r="BK278"/>
  <c r="BJ278"/>
  <c r="BI278"/>
  <c r="BH278"/>
  <c r="BG278"/>
  <c r="BF278"/>
  <c r="BE278"/>
  <c r="BD278"/>
  <c r="BC278"/>
  <c r="AX278"/>
  <c r="BP278" s="1"/>
  <c r="AV278"/>
  <c r="BN278" s="1"/>
  <c r="AT278"/>
  <c r="BL278" s="1"/>
  <c r="AS278"/>
  <c r="AR278"/>
  <c r="BA278" s="1"/>
  <c r="AQ278"/>
  <c r="AP278"/>
  <c r="AY278" s="1"/>
  <c r="BQ278" s="1"/>
  <c r="AO278"/>
  <c r="AN278"/>
  <c r="AW278" s="1"/>
  <c r="BO278" s="1"/>
  <c r="AM278"/>
  <c r="AL278"/>
  <c r="AU278" s="1"/>
  <c r="BM278" s="1"/>
  <c r="AK278"/>
  <c r="AH278"/>
  <c r="AG278"/>
  <c r="AF278"/>
  <c r="BB278" s="1"/>
  <c r="BS278" s="1"/>
  <c r="K278"/>
  <c r="J278"/>
  <c r="L278" s="1"/>
  <c r="O277"/>
  <c r="N277"/>
  <c r="BK275"/>
  <c r="BJ275"/>
  <c r="BI275"/>
  <c r="BH275"/>
  <c r="BG275"/>
  <c r="BF275"/>
  <c r="BE275"/>
  <c r="BD275"/>
  <c r="BC275"/>
  <c r="AX275"/>
  <c r="BP275" s="1"/>
  <c r="AV275"/>
  <c r="BN275" s="1"/>
  <c r="AT275"/>
  <c r="BL275" s="1"/>
  <c r="AS275"/>
  <c r="AR275"/>
  <c r="BA275" s="1"/>
  <c r="AQ275"/>
  <c r="AP275"/>
  <c r="AY275" s="1"/>
  <c r="BQ275" s="1"/>
  <c r="AO275"/>
  <c r="AN275"/>
  <c r="AW275" s="1"/>
  <c r="BO275" s="1"/>
  <c r="AM275"/>
  <c r="AL275"/>
  <c r="AU275" s="1"/>
  <c r="BM275" s="1"/>
  <c r="AK275"/>
  <c r="AH275"/>
  <c r="AG275"/>
  <c r="AF275"/>
  <c r="BB275" s="1"/>
  <c r="BS275" s="1"/>
  <c r="K275"/>
  <c r="J275"/>
  <c r="L275" s="1"/>
  <c r="BK274"/>
  <c r="BJ274"/>
  <c r="BI274"/>
  <c r="BH274"/>
  <c r="BG274"/>
  <c r="BF274"/>
  <c r="BE274"/>
  <c r="BD274"/>
  <c r="BC274"/>
  <c r="AX274"/>
  <c r="BP274" s="1"/>
  <c r="AV274"/>
  <c r="BN274" s="1"/>
  <c r="AT274"/>
  <c r="BL274" s="1"/>
  <c r="AS274"/>
  <c r="AR274"/>
  <c r="BA274" s="1"/>
  <c r="AQ274"/>
  <c r="AP274"/>
  <c r="AY274" s="1"/>
  <c r="BQ274" s="1"/>
  <c r="AO274"/>
  <c r="AN274"/>
  <c r="AW274" s="1"/>
  <c r="BO274" s="1"/>
  <c r="AM274"/>
  <c r="AL274"/>
  <c r="AU274" s="1"/>
  <c r="BM274" s="1"/>
  <c r="AK274"/>
  <c r="AH274"/>
  <c r="AG274"/>
  <c r="AF274"/>
  <c r="BB274" s="1"/>
  <c r="BS274" s="1"/>
  <c r="K274"/>
  <c r="J274"/>
  <c r="L274" s="1"/>
  <c r="BK273"/>
  <c r="BJ273"/>
  <c r="BI273"/>
  <c r="BH273"/>
  <c r="BG273"/>
  <c r="BF273"/>
  <c r="BE273"/>
  <c r="BD273"/>
  <c r="BC273"/>
  <c r="AX273"/>
  <c r="BP273" s="1"/>
  <c r="AV273"/>
  <c r="BN273" s="1"/>
  <c r="AT273"/>
  <c r="BL273" s="1"/>
  <c r="AS273"/>
  <c r="AR273"/>
  <c r="BA273" s="1"/>
  <c r="AQ273"/>
  <c r="AP273"/>
  <c r="AY273" s="1"/>
  <c r="BQ273" s="1"/>
  <c r="AO273"/>
  <c r="AN273"/>
  <c r="AW273" s="1"/>
  <c r="BO273" s="1"/>
  <c r="AM273"/>
  <c r="AL273"/>
  <c r="AU273" s="1"/>
  <c r="BM273" s="1"/>
  <c r="AK273"/>
  <c r="AH273"/>
  <c r="AG273"/>
  <c r="AF273"/>
  <c r="BB273" s="1"/>
  <c r="BS273" s="1"/>
  <c r="K273"/>
  <c r="J273"/>
  <c r="L273" s="1"/>
  <c r="BK272"/>
  <c r="BJ272"/>
  <c r="BI272"/>
  <c r="BH272"/>
  <c r="BG272"/>
  <c r="BF272"/>
  <c r="BE272"/>
  <c r="BD272"/>
  <c r="BC272"/>
  <c r="AX272"/>
  <c r="BP272" s="1"/>
  <c r="AV272"/>
  <c r="BN272" s="1"/>
  <c r="AT272"/>
  <c r="BL272" s="1"/>
  <c r="AS272"/>
  <c r="AR272"/>
  <c r="BA272" s="1"/>
  <c r="AQ272"/>
  <c r="AP272"/>
  <c r="AY272" s="1"/>
  <c r="BQ272" s="1"/>
  <c r="AO272"/>
  <c r="AN272"/>
  <c r="AW272" s="1"/>
  <c r="BO272" s="1"/>
  <c r="AM272"/>
  <c r="AL272"/>
  <c r="AU272" s="1"/>
  <c r="BM272" s="1"/>
  <c r="AK272"/>
  <c r="AH272"/>
  <c r="AG272"/>
  <c r="AF272"/>
  <c r="BB272" s="1"/>
  <c r="BS272" s="1"/>
  <c r="K272"/>
  <c r="J272"/>
  <c r="L272" s="1"/>
  <c r="BK271"/>
  <c r="BJ271"/>
  <c r="BI271"/>
  <c r="BH271"/>
  <c r="BG271"/>
  <c r="BF271"/>
  <c r="BE271"/>
  <c r="BD271"/>
  <c r="BC271"/>
  <c r="AX271"/>
  <c r="BP271" s="1"/>
  <c r="AV271"/>
  <c r="BN271" s="1"/>
  <c r="AT271"/>
  <c r="BL271" s="1"/>
  <c r="AS271"/>
  <c r="AR271"/>
  <c r="BA271" s="1"/>
  <c r="AQ271"/>
  <c r="AP271"/>
  <c r="AY271" s="1"/>
  <c r="BQ271" s="1"/>
  <c r="AO271"/>
  <c r="AN271"/>
  <c r="AW271" s="1"/>
  <c r="BO271" s="1"/>
  <c r="AM271"/>
  <c r="AL271"/>
  <c r="AU271" s="1"/>
  <c r="BM271" s="1"/>
  <c r="AK271"/>
  <c r="AH271"/>
  <c r="AG271"/>
  <c r="AF271"/>
  <c r="BB271" s="1"/>
  <c r="BS271" s="1"/>
  <c r="K271"/>
  <c r="J271"/>
  <c r="L271" s="1"/>
  <c r="L290" s="1"/>
  <c r="O270"/>
  <c r="N270"/>
  <c r="N269"/>
  <c r="BK262"/>
  <c r="BJ262"/>
  <c r="BI262"/>
  <c r="BH262"/>
  <c r="BG262"/>
  <c r="BF262"/>
  <c r="BE262"/>
  <c r="BD262"/>
  <c r="BC262"/>
  <c r="AY262"/>
  <c r="BQ262" s="1"/>
  <c r="AW262"/>
  <c r="BO262" s="1"/>
  <c r="AU262"/>
  <c r="BM262" s="1"/>
  <c r="AS262"/>
  <c r="BB262" s="1"/>
  <c r="BS262" s="1"/>
  <c r="AR262"/>
  <c r="AQ262"/>
  <c r="AZ262" s="1"/>
  <c r="BR262" s="1"/>
  <c r="AP262"/>
  <c r="AO262"/>
  <c r="AX262" s="1"/>
  <c r="BP262" s="1"/>
  <c r="AN262"/>
  <c r="AM262"/>
  <c r="AV262" s="1"/>
  <c r="BN262" s="1"/>
  <c r="AL262"/>
  <c r="AK262"/>
  <c r="AT262" s="1"/>
  <c r="BL262" s="1"/>
  <c r="AH262"/>
  <c r="AG262"/>
  <c r="BA262" s="1"/>
  <c r="AF262"/>
  <c r="J262"/>
  <c r="L262" s="1"/>
  <c r="BK261"/>
  <c r="BJ261"/>
  <c r="BI261"/>
  <c r="BH261"/>
  <c r="BG261"/>
  <c r="BF261"/>
  <c r="BE261"/>
  <c r="BD261"/>
  <c r="BC261"/>
  <c r="AY261"/>
  <c r="BQ261" s="1"/>
  <c r="AW261"/>
  <c r="BO261" s="1"/>
  <c r="AU261"/>
  <c r="BM261" s="1"/>
  <c r="AS261"/>
  <c r="BB261" s="1"/>
  <c r="BS261" s="1"/>
  <c r="AR261"/>
  <c r="AQ261"/>
  <c r="AZ261" s="1"/>
  <c r="BR261" s="1"/>
  <c r="AP261"/>
  <c r="AO261"/>
  <c r="AX261" s="1"/>
  <c r="BP261" s="1"/>
  <c r="AN261"/>
  <c r="AM261"/>
  <c r="AV261" s="1"/>
  <c r="BN261" s="1"/>
  <c r="AL261"/>
  <c r="AK261"/>
  <c r="AT261" s="1"/>
  <c r="BL261" s="1"/>
  <c r="AH261"/>
  <c r="AG261"/>
  <c r="BA261" s="1"/>
  <c r="AF261"/>
  <c r="J261"/>
  <c r="L261" s="1"/>
  <c r="BK259"/>
  <c r="BJ259"/>
  <c r="BI259"/>
  <c r="BH259"/>
  <c r="BG259"/>
  <c r="BF259"/>
  <c r="BE259"/>
  <c r="BD259"/>
  <c r="BC259"/>
  <c r="AY259"/>
  <c r="BQ259" s="1"/>
  <c r="AW259"/>
  <c r="BO259" s="1"/>
  <c r="AU259"/>
  <c r="BM259" s="1"/>
  <c r="AS259"/>
  <c r="BB259" s="1"/>
  <c r="BS259" s="1"/>
  <c r="AR259"/>
  <c r="AQ259"/>
  <c r="AZ259" s="1"/>
  <c r="BR259" s="1"/>
  <c r="AP259"/>
  <c r="AO259"/>
  <c r="AX259" s="1"/>
  <c r="BP259" s="1"/>
  <c r="AN259"/>
  <c r="AM259"/>
  <c r="AV259" s="1"/>
  <c r="BN259" s="1"/>
  <c r="AL259"/>
  <c r="AK259"/>
  <c r="AT259" s="1"/>
  <c r="BL259" s="1"/>
  <c r="AH259"/>
  <c r="AG259"/>
  <c r="BA259" s="1"/>
  <c r="AF259"/>
  <c r="J259"/>
  <c r="L259" s="1"/>
  <c r="BK258"/>
  <c r="BJ258"/>
  <c r="BI258"/>
  <c r="BH258"/>
  <c r="BG258"/>
  <c r="BF258"/>
  <c r="BE258"/>
  <c r="BD258"/>
  <c r="BC258"/>
  <c r="AY258"/>
  <c r="BQ258" s="1"/>
  <c r="AW258"/>
  <c r="BO258" s="1"/>
  <c r="AU258"/>
  <c r="BM258" s="1"/>
  <c r="AS258"/>
  <c r="BB258" s="1"/>
  <c r="BS258" s="1"/>
  <c r="AR258"/>
  <c r="AQ258"/>
  <c r="AZ258" s="1"/>
  <c r="BR258" s="1"/>
  <c r="AP258"/>
  <c r="AO258"/>
  <c r="AX258" s="1"/>
  <c r="BP258" s="1"/>
  <c r="AN258"/>
  <c r="AM258"/>
  <c r="AV258" s="1"/>
  <c r="BN258" s="1"/>
  <c r="AL258"/>
  <c r="AK258"/>
  <c r="AT258" s="1"/>
  <c r="BL258" s="1"/>
  <c r="AH258"/>
  <c r="AG258"/>
  <c r="BA258" s="1"/>
  <c r="AF258"/>
  <c r="J258"/>
  <c r="L258" s="1"/>
  <c r="BK257"/>
  <c r="BJ257"/>
  <c r="BI257"/>
  <c r="BH257"/>
  <c r="BG257"/>
  <c r="BF257"/>
  <c r="BE257"/>
  <c r="BD257"/>
  <c r="BC257"/>
  <c r="AY257"/>
  <c r="BQ257" s="1"/>
  <c r="AW257"/>
  <c r="BO257" s="1"/>
  <c r="AU257"/>
  <c r="BM257" s="1"/>
  <c r="AS257"/>
  <c r="BB257" s="1"/>
  <c r="BS257" s="1"/>
  <c r="AR257"/>
  <c r="AQ257"/>
  <c r="AZ257" s="1"/>
  <c r="BR257" s="1"/>
  <c r="AP257"/>
  <c r="AO257"/>
  <c r="AX257" s="1"/>
  <c r="BP257" s="1"/>
  <c r="AN257"/>
  <c r="AM257"/>
  <c r="AV257" s="1"/>
  <c r="BN257" s="1"/>
  <c r="AL257"/>
  <c r="AK257"/>
  <c r="AT257" s="1"/>
  <c r="BL257" s="1"/>
  <c r="AH257"/>
  <c r="AG257"/>
  <c r="BA257" s="1"/>
  <c r="AF257"/>
  <c r="J257"/>
  <c r="L257" s="1"/>
  <c r="BK256"/>
  <c r="BJ256"/>
  <c r="BI256"/>
  <c r="BH256"/>
  <c r="BG256"/>
  <c r="BF256"/>
  <c r="BE256"/>
  <c r="BD256"/>
  <c r="BC256"/>
  <c r="AY256"/>
  <c r="BQ256" s="1"/>
  <c r="AW256"/>
  <c r="BO256" s="1"/>
  <c r="AU256"/>
  <c r="BM256" s="1"/>
  <c r="AS256"/>
  <c r="BB256" s="1"/>
  <c r="BS256" s="1"/>
  <c r="AR256"/>
  <c r="AQ256"/>
  <c r="AZ256" s="1"/>
  <c r="BR256" s="1"/>
  <c r="AP256"/>
  <c r="AO256"/>
  <c r="AX256" s="1"/>
  <c r="BP256" s="1"/>
  <c r="AN256"/>
  <c r="AM256"/>
  <c r="AV256" s="1"/>
  <c r="BN256" s="1"/>
  <c r="AL256"/>
  <c r="AK256"/>
  <c r="AT256" s="1"/>
  <c r="BL256" s="1"/>
  <c r="AH256"/>
  <c r="AG256"/>
  <c r="BA256" s="1"/>
  <c r="AF256"/>
  <c r="J256"/>
  <c r="L256" s="1"/>
  <c r="BK255"/>
  <c r="BJ255"/>
  <c r="BI255"/>
  <c r="BH255"/>
  <c r="BG255"/>
  <c r="BF255"/>
  <c r="BE255"/>
  <c r="BD255"/>
  <c r="BC255"/>
  <c r="AY255"/>
  <c r="BQ255" s="1"/>
  <c r="AW255"/>
  <c r="BO255" s="1"/>
  <c r="AU255"/>
  <c r="BM255" s="1"/>
  <c r="AS255"/>
  <c r="BB255" s="1"/>
  <c r="BS255" s="1"/>
  <c r="AR255"/>
  <c r="AQ255"/>
  <c r="AZ255" s="1"/>
  <c r="BR255" s="1"/>
  <c r="AP255"/>
  <c r="AO255"/>
  <c r="AX255" s="1"/>
  <c r="BP255" s="1"/>
  <c r="AN255"/>
  <c r="AM255"/>
  <c r="AV255" s="1"/>
  <c r="BN255" s="1"/>
  <c r="AL255"/>
  <c r="AK255"/>
  <c r="AT255" s="1"/>
  <c r="BL255" s="1"/>
  <c r="AH255"/>
  <c r="AG255"/>
  <c r="BA255" s="1"/>
  <c r="AF255"/>
  <c r="J255"/>
  <c r="L255" s="1"/>
  <c r="BK254"/>
  <c r="BJ254"/>
  <c r="BI254"/>
  <c r="BH254"/>
  <c r="BG254"/>
  <c r="BF254"/>
  <c r="BE254"/>
  <c r="BD254"/>
  <c r="BC254"/>
  <c r="AY254"/>
  <c r="BQ254" s="1"/>
  <c r="AW254"/>
  <c r="BO254" s="1"/>
  <c r="AU254"/>
  <c r="BM254" s="1"/>
  <c r="AS254"/>
  <c r="BB254" s="1"/>
  <c r="BS254" s="1"/>
  <c r="AR254"/>
  <c r="AQ254"/>
  <c r="AZ254" s="1"/>
  <c r="BR254" s="1"/>
  <c r="AP254"/>
  <c r="AO254"/>
  <c r="AX254" s="1"/>
  <c r="BP254" s="1"/>
  <c r="AN254"/>
  <c r="AM254"/>
  <c r="AV254" s="1"/>
  <c r="BN254" s="1"/>
  <c r="AL254"/>
  <c r="AK254"/>
  <c r="AT254" s="1"/>
  <c r="BL254" s="1"/>
  <c r="AH254"/>
  <c r="AG254"/>
  <c r="BA254" s="1"/>
  <c r="AF254"/>
  <c r="J254"/>
  <c r="L254" s="1"/>
  <c r="O253"/>
  <c r="N253"/>
  <c r="BK251"/>
  <c r="BJ251"/>
  <c r="BI251"/>
  <c r="BH251"/>
  <c r="BG251"/>
  <c r="BF251"/>
  <c r="BE251"/>
  <c r="BD251"/>
  <c r="BC251"/>
  <c r="AY251"/>
  <c r="BQ251" s="1"/>
  <c r="AW251"/>
  <c r="BO251" s="1"/>
  <c r="AU251"/>
  <c r="BM251" s="1"/>
  <c r="AS251"/>
  <c r="BB251" s="1"/>
  <c r="BS251" s="1"/>
  <c r="AR251"/>
  <c r="AQ251"/>
  <c r="AZ251" s="1"/>
  <c r="BR251" s="1"/>
  <c r="AP251"/>
  <c r="AO251"/>
  <c r="AX251" s="1"/>
  <c r="BP251" s="1"/>
  <c r="AN251"/>
  <c r="AM251"/>
  <c r="AV251" s="1"/>
  <c r="BN251" s="1"/>
  <c r="AL251"/>
  <c r="AK251"/>
  <c r="AT251" s="1"/>
  <c r="BL251" s="1"/>
  <c r="AH251"/>
  <c r="AG251"/>
  <c r="BA251" s="1"/>
  <c r="AF251"/>
  <c r="J251"/>
  <c r="L251" s="1"/>
  <c r="BK250"/>
  <c r="BJ250"/>
  <c r="BI250"/>
  <c r="BH250"/>
  <c r="BG250"/>
  <c r="BF250"/>
  <c r="BE250"/>
  <c r="BD250"/>
  <c r="BC250"/>
  <c r="AY250"/>
  <c r="BQ250" s="1"/>
  <c r="AW250"/>
  <c r="BO250" s="1"/>
  <c r="AU250"/>
  <c r="BM250" s="1"/>
  <c r="AS250"/>
  <c r="BB250" s="1"/>
  <c r="BS250" s="1"/>
  <c r="AR250"/>
  <c r="AQ250"/>
  <c r="AZ250" s="1"/>
  <c r="BR250" s="1"/>
  <c r="AP250"/>
  <c r="AO250"/>
  <c r="AX250" s="1"/>
  <c r="BP250" s="1"/>
  <c r="AN250"/>
  <c r="AM250"/>
  <c r="AV250" s="1"/>
  <c r="BN250" s="1"/>
  <c r="AL250"/>
  <c r="AK250"/>
  <c r="AT250" s="1"/>
  <c r="BL250" s="1"/>
  <c r="AH250"/>
  <c r="AG250"/>
  <c r="BA250" s="1"/>
  <c r="AF250"/>
  <c r="J250"/>
  <c r="L250" s="1"/>
  <c r="BK249"/>
  <c r="BJ249"/>
  <c r="BI249"/>
  <c r="BH249"/>
  <c r="BG249"/>
  <c r="BF249"/>
  <c r="BE249"/>
  <c r="BD249"/>
  <c r="BC249"/>
  <c r="AY249"/>
  <c r="BQ249" s="1"/>
  <c r="AW249"/>
  <c r="BO249" s="1"/>
  <c r="AU249"/>
  <c r="BM249" s="1"/>
  <c r="AS249"/>
  <c r="BB249" s="1"/>
  <c r="BS249" s="1"/>
  <c r="AR249"/>
  <c r="AQ249"/>
  <c r="AZ249" s="1"/>
  <c r="BR249" s="1"/>
  <c r="AP249"/>
  <c r="AO249"/>
  <c r="AX249" s="1"/>
  <c r="BP249" s="1"/>
  <c r="AN249"/>
  <c r="AM249"/>
  <c r="AV249" s="1"/>
  <c r="BN249" s="1"/>
  <c r="AL249"/>
  <c r="AK249"/>
  <c r="AT249" s="1"/>
  <c r="BL249" s="1"/>
  <c r="AH249"/>
  <c r="AG249"/>
  <c r="BA249" s="1"/>
  <c r="AF249"/>
  <c r="J249"/>
  <c r="L249" s="1"/>
  <c r="BK248"/>
  <c r="BJ248"/>
  <c r="BI248"/>
  <c r="BH248"/>
  <c r="BG248"/>
  <c r="BF248"/>
  <c r="BE248"/>
  <c r="BD248"/>
  <c r="BC248"/>
  <c r="AY248"/>
  <c r="BQ248" s="1"/>
  <c r="AW248"/>
  <c r="BO248" s="1"/>
  <c r="AU248"/>
  <c r="BM248" s="1"/>
  <c r="AS248"/>
  <c r="BB248" s="1"/>
  <c r="BS248" s="1"/>
  <c r="AR248"/>
  <c r="AQ248"/>
  <c r="AZ248" s="1"/>
  <c r="BR248" s="1"/>
  <c r="AP248"/>
  <c r="AO248"/>
  <c r="AX248" s="1"/>
  <c r="BP248" s="1"/>
  <c r="AN248"/>
  <c r="AM248"/>
  <c r="AV248" s="1"/>
  <c r="BN248" s="1"/>
  <c r="AL248"/>
  <c r="AK248"/>
  <c r="AT248" s="1"/>
  <c r="BL248" s="1"/>
  <c r="AH248"/>
  <c r="AG248"/>
  <c r="BA248" s="1"/>
  <c r="AF248"/>
  <c r="J248"/>
  <c r="L248" s="1"/>
  <c r="BK247"/>
  <c r="BJ247"/>
  <c r="BI247"/>
  <c r="BH247"/>
  <c r="BG247"/>
  <c r="BF247"/>
  <c r="BE247"/>
  <c r="BD247"/>
  <c r="BC247"/>
  <c r="AY247"/>
  <c r="BQ247" s="1"/>
  <c r="AW247"/>
  <c r="BO247" s="1"/>
  <c r="AU247"/>
  <c r="BM247" s="1"/>
  <c r="AS247"/>
  <c r="BB247" s="1"/>
  <c r="BS247" s="1"/>
  <c r="AR247"/>
  <c r="AQ247"/>
  <c r="AZ247" s="1"/>
  <c r="BR247" s="1"/>
  <c r="AP247"/>
  <c r="AO247"/>
  <c r="AX247" s="1"/>
  <c r="BP247" s="1"/>
  <c r="AN247"/>
  <c r="AM247"/>
  <c r="AV247" s="1"/>
  <c r="BN247" s="1"/>
  <c r="AL247"/>
  <c r="AK247"/>
  <c r="AT247" s="1"/>
  <c r="BL247" s="1"/>
  <c r="AH247"/>
  <c r="AG247"/>
  <c r="BA247" s="1"/>
  <c r="AF247"/>
  <c r="J247"/>
  <c r="L247" s="1"/>
  <c r="L263" s="1"/>
  <c r="O246"/>
  <c r="N246"/>
  <c r="BK238"/>
  <c r="BJ238"/>
  <c r="BI238"/>
  <c r="BH238"/>
  <c r="BG238"/>
  <c r="BF238"/>
  <c r="BE238"/>
  <c r="BD238"/>
  <c r="BC238"/>
  <c r="AY238"/>
  <c r="BQ238" s="1"/>
  <c r="AW238"/>
  <c r="BO238" s="1"/>
  <c r="AU238"/>
  <c r="BM238" s="1"/>
  <c r="AS238"/>
  <c r="BB238" s="1"/>
  <c r="BS238" s="1"/>
  <c r="AR238"/>
  <c r="AQ238"/>
  <c r="AZ238" s="1"/>
  <c r="BR238" s="1"/>
  <c r="AP238"/>
  <c r="AO238"/>
  <c r="AX238" s="1"/>
  <c r="BP238" s="1"/>
  <c r="AN238"/>
  <c r="AM238"/>
  <c r="AV238" s="1"/>
  <c r="BN238" s="1"/>
  <c r="AL238"/>
  <c r="AK238"/>
  <c r="AT238" s="1"/>
  <c r="BL238" s="1"/>
  <c r="AH238"/>
  <c r="AG238"/>
  <c r="BA238" s="1"/>
  <c r="AF238"/>
  <c r="J238"/>
  <c r="L238" s="1"/>
  <c r="BK237"/>
  <c r="BJ237"/>
  <c r="BI237"/>
  <c r="BH237"/>
  <c r="BG237"/>
  <c r="BF237"/>
  <c r="BE237"/>
  <c r="BD237"/>
  <c r="BC237"/>
  <c r="AY237"/>
  <c r="BQ237" s="1"/>
  <c r="AW237"/>
  <c r="BO237" s="1"/>
  <c r="AU237"/>
  <c r="BM237" s="1"/>
  <c r="AS237"/>
  <c r="BB237" s="1"/>
  <c r="BS237" s="1"/>
  <c r="AR237"/>
  <c r="AQ237"/>
  <c r="AZ237" s="1"/>
  <c r="BR237" s="1"/>
  <c r="AP237"/>
  <c r="AO237"/>
  <c r="AX237" s="1"/>
  <c r="BP237" s="1"/>
  <c r="AN237"/>
  <c r="AM237"/>
  <c r="AV237" s="1"/>
  <c r="BN237" s="1"/>
  <c r="AL237"/>
  <c r="AK237"/>
  <c r="AT237" s="1"/>
  <c r="BL237" s="1"/>
  <c r="AH237"/>
  <c r="AG237"/>
  <c r="BA237" s="1"/>
  <c r="AF237"/>
  <c r="J237"/>
  <c r="L237" s="1"/>
  <c r="BK235"/>
  <c r="BJ235"/>
  <c r="BI235"/>
  <c r="BH235"/>
  <c r="BG235"/>
  <c r="BF235"/>
  <c r="BE235"/>
  <c r="BD235"/>
  <c r="BC235"/>
  <c r="AY235"/>
  <c r="BQ235" s="1"/>
  <c r="AW235"/>
  <c r="BO235" s="1"/>
  <c r="AU235"/>
  <c r="BM235" s="1"/>
  <c r="AS235"/>
  <c r="BB235" s="1"/>
  <c r="BS235" s="1"/>
  <c r="AR235"/>
  <c r="AQ235"/>
  <c r="AZ235" s="1"/>
  <c r="BR235" s="1"/>
  <c r="AP235"/>
  <c r="AO235"/>
  <c r="AX235" s="1"/>
  <c r="BP235" s="1"/>
  <c r="AN235"/>
  <c r="AM235"/>
  <c r="AV235" s="1"/>
  <c r="BN235" s="1"/>
  <c r="AL235"/>
  <c r="AK235"/>
  <c r="AT235" s="1"/>
  <c r="BL235" s="1"/>
  <c r="AH235"/>
  <c r="AG235"/>
  <c r="BA235" s="1"/>
  <c r="AF235"/>
  <c r="J235"/>
  <c r="L235" s="1"/>
  <c r="BK234"/>
  <c r="BJ234"/>
  <c r="BI234"/>
  <c r="BH234"/>
  <c r="BG234"/>
  <c r="BF234"/>
  <c r="BE234"/>
  <c r="BD234"/>
  <c r="BC234"/>
  <c r="AY234"/>
  <c r="BQ234" s="1"/>
  <c r="AW234"/>
  <c r="BO234" s="1"/>
  <c r="AU234"/>
  <c r="BM234" s="1"/>
  <c r="AS234"/>
  <c r="BB234" s="1"/>
  <c r="BS234" s="1"/>
  <c r="AR234"/>
  <c r="AQ234"/>
  <c r="AZ234" s="1"/>
  <c r="BR234" s="1"/>
  <c r="AP234"/>
  <c r="AO234"/>
  <c r="AX234" s="1"/>
  <c r="BP234" s="1"/>
  <c r="AN234"/>
  <c r="AM234"/>
  <c r="AV234" s="1"/>
  <c r="BN234" s="1"/>
  <c r="AL234"/>
  <c r="AK234"/>
  <c r="AT234" s="1"/>
  <c r="BL234" s="1"/>
  <c r="AH234"/>
  <c r="AG234"/>
  <c r="BA234" s="1"/>
  <c r="AF234"/>
  <c r="J234"/>
  <c r="L234" s="1"/>
  <c r="BK233"/>
  <c r="BJ233"/>
  <c r="BI233"/>
  <c r="BH233"/>
  <c r="BG233"/>
  <c r="BF233"/>
  <c r="BE233"/>
  <c r="BD233"/>
  <c r="BC233"/>
  <c r="AY233"/>
  <c r="BQ233" s="1"/>
  <c r="AW233"/>
  <c r="BO233" s="1"/>
  <c r="AU233"/>
  <c r="BM233" s="1"/>
  <c r="AS233"/>
  <c r="BB233" s="1"/>
  <c r="BS233" s="1"/>
  <c r="AR233"/>
  <c r="AQ233"/>
  <c r="AZ233" s="1"/>
  <c r="BR233" s="1"/>
  <c r="AP233"/>
  <c r="AO233"/>
  <c r="AX233" s="1"/>
  <c r="BP233" s="1"/>
  <c r="AN233"/>
  <c r="AM233"/>
  <c r="AV233" s="1"/>
  <c r="BN233" s="1"/>
  <c r="AL233"/>
  <c r="AK233"/>
  <c r="AT233" s="1"/>
  <c r="BL233" s="1"/>
  <c r="AH233"/>
  <c r="AG233"/>
  <c r="BA233" s="1"/>
  <c r="AF233"/>
  <c r="J233"/>
  <c r="L233" s="1"/>
  <c r="BK232"/>
  <c r="BJ232"/>
  <c r="BI232"/>
  <c r="BH232"/>
  <c r="BG232"/>
  <c r="BF232"/>
  <c r="BE232"/>
  <c r="BD232"/>
  <c r="BC232"/>
  <c r="AY232"/>
  <c r="BQ232" s="1"/>
  <c r="AW232"/>
  <c r="BO232" s="1"/>
  <c r="AU232"/>
  <c r="BM232" s="1"/>
  <c r="AS232"/>
  <c r="BB232" s="1"/>
  <c r="BS232" s="1"/>
  <c r="AR232"/>
  <c r="AQ232"/>
  <c r="AZ232" s="1"/>
  <c r="BR232" s="1"/>
  <c r="AP232"/>
  <c r="AO232"/>
  <c r="AX232" s="1"/>
  <c r="BP232" s="1"/>
  <c r="AN232"/>
  <c r="AM232"/>
  <c r="AV232" s="1"/>
  <c r="BN232" s="1"/>
  <c r="AL232"/>
  <c r="AK232"/>
  <c r="AT232" s="1"/>
  <c r="BL232" s="1"/>
  <c r="AH232"/>
  <c r="AG232"/>
  <c r="BA232" s="1"/>
  <c r="AF232"/>
  <c r="J232"/>
  <c r="L232" s="1"/>
  <c r="BK231"/>
  <c r="BJ231"/>
  <c r="BI231"/>
  <c r="BH231"/>
  <c r="BG231"/>
  <c r="BF231"/>
  <c r="BE231"/>
  <c r="BD231"/>
  <c r="BC231"/>
  <c r="AY231"/>
  <c r="BQ231" s="1"/>
  <c r="AW231"/>
  <c r="BO231" s="1"/>
  <c r="AU231"/>
  <c r="BM231" s="1"/>
  <c r="AS231"/>
  <c r="BB231" s="1"/>
  <c r="BS231" s="1"/>
  <c r="AR231"/>
  <c r="AQ231"/>
  <c r="AZ231" s="1"/>
  <c r="BR231" s="1"/>
  <c r="AP231"/>
  <c r="AO231"/>
  <c r="AX231" s="1"/>
  <c r="BP231" s="1"/>
  <c r="AN231"/>
  <c r="AM231"/>
  <c r="AV231" s="1"/>
  <c r="BN231" s="1"/>
  <c r="AL231"/>
  <c r="AK231"/>
  <c r="AT231" s="1"/>
  <c r="BL231" s="1"/>
  <c r="AH231"/>
  <c r="AG231"/>
  <c r="BA231" s="1"/>
  <c r="AF231"/>
  <c r="J231"/>
  <c r="L231" s="1"/>
  <c r="BK230"/>
  <c r="BJ230"/>
  <c r="BI230"/>
  <c r="BH230"/>
  <c r="BG230"/>
  <c r="BF230"/>
  <c r="BE230"/>
  <c r="BD230"/>
  <c r="BC230"/>
  <c r="AY230"/>
  <c r="BQ230" s="1"/>
  <c r="AW230"/>
  <c r="BO230" s="1"/>
  <c r="AU230"/>
  <c r="BM230" s="1"/>
  <c r="AS230"/>
  <c r="BB230" s="1"/>
  <c r="BS230" s="1"/>
  <c r="AR230"/>
  <c r="AQ230"/>
  <c r="AZ230" s="1"/>
  <c r="BR230" s="1"/>
  <c r="AP230"/>
  <c r="AO230"/>
  <c r="AX230" s="1"/>
  <c r="BP230" s="1"/>
  <c r="AN230"/>
  <c r="AM230"/>
  <c r="AV230" s="1"/>
  <c r="BN230" s="1"/>
  <c r="AL230"/>
  <c r="AK230"/>
  <c r="AT230" s="1"/>
  <c r="BL230" s="1"/>
  <c r="AH230"/>
  <c r="AG230"/>
  <c r="BA230" s="1"/>
  <c r="AF230"/>
  <c r="J230"/>
  <c r="L230" s="1"/>
  <c r="O229"/>
  <c r="N229"/>
  <c r="BK227"/>
  <c r="BJ227"/>
  <c r="BI227"/>
  <c r="BH227"/>
  <c r="BG227"/>
  <c r="BF227"/>
  <c r="BE227"/>
  <c r="BD227"/>
  <c r="BC227"/>
  <c r="AY227"/>
  <c r="BQ227" s="1"/>
  <c r="AW227"/>
  <c r="BO227" s="1"/>
  <c r="AU227"/>
  <c r="BM227" s="1"/>
  <c r="AS227"/>
  <c r="BB227" s="1"/>
  <c r="BS227" s="1"/>
  <c r="AR227"/>
  <c r="AQ227"/>
  <c r="AZ227" s="1"/>
  <c r="BR227" s="1"/>
  <c r="AP227"/>
  <c r="AO227"/>
  <c r="AX227" s="1"/>
  <c r="BP227" s="1"/>
  <c r="AN227"/>
  <c r="AM227"/>
  <c r="AV227" s="1"/>
  <c r="BN227" s="1"/>
  <c r="AL227"/>
  <c r="AK227"/>
  <c r="AT227" s="1"/>
  <c r="BL227" s="1"/>
  <c r="AH227"/>
  <c r="AG227"/>
  <c r="BA227" s="1"/>
  <c r="AF227"/>
  <c r="J227"/>
  <c r="L227" s="1"/>
  <c r="BK226"/>
  <c r="BJ226"/>
  <c r="BI226"/>
  <c r="BH226"/>
  <c r="BG226"/>
  <c r="BF226"/>
  <c r="BE226"/>
  <c r="BD226"/>
  <c r="BC226"/>
  <c r="AY226"/>
  <c r="BQ226" s="1"/>
  <c r="AW226"/>
  <c r="BO226" s="1"/>
  <c r="AU226"/>
  <c r="BM226" s="1"/>
  <c r="AS226"/>
  <c r="BB226" s="1"/>
  <c r="BS226" s="1"/>
  <c r="AR226"/>
  <c r="AQ226"/>
  <c r="AZ226" s="1"/>
  <c r="BR226" s="1"/>
  <c r="AP226"/>
  <c r="AO226"/>
  <c r="AX226" s="1"/>
  <c r="BP226" s="1"/>
  <c r="AN226"/>
  <c r="AM226"/>
  <c r="AV226" s="1"/>
  <c r="BN226" s="1"/>
  <c r="AL226"/>
  <c r="AK226"/>
  <c r="AT226" s="1"/>
  <c r="BL226" s="1"/>
  <c r="AH226"/>
  <c r="AG226"/>
  <c r="BA226" s="1"/>
  <c r="AF226"/>
  <c r="J226"/>
  <c r="L226" s="1"/>
  <c r="BK225"/>
  <c r="BJ225"/>
  <c r="BI225"/>
  <c r="BH225"/>
  <c r="BG225"/>
  <c r="BF225"/>
  <c r="BE225"/>
  <c r="BD225"/>
  <c r="BC225"/>
  <c r="AY225"/>
  <c r="BQ225" s="1"/>
  <c r="AW225"/>
  <c r="BO225" s="1"/>
  <c r="AU225"/>
  <c r="BM225" s="1"/>
  <c r="AS225"/>
  <c r="BB225" s="1"/>
  <c r="BS225" s="1"/>
  <c r="AR225"/>
  <c r="AQ225"/>
  <c r="AZ225" s="1"/>
  <c r="BR225" s="1"/>
  <c r="AP225"/>
  <c r="AO225"/>
  <c r="AX225" s="1"/>
  <c r="BP225" s="1"/>
  <c r="AN225"/>
  <c r="AM225"/>
  <c r="AV225" s="1"/>
  <c r="BN225" s="1"/>
  <c r="AL225"/>
  <c r="AK225"/>
  <c r="AT225" s="1"/>
  <c r="BL225" s="1"/>
  <c r="AH225"/>
  <c r="AG225"/>
  <c r="BA225" s="1"/>
  <c r="AF225"/>
  <c r="J225"/>
  <c r="L225" s="1"/>
  <c r="BK224"/>
  <c r="BJ224"/>
  <c r="BI224"/>
  <c r="BH224"/>
  <c r="BG224"/>
  <c r="BF224"/>
  <c r="BE224"/>
  <c r="BD224"/>
  <c r="BC224"/>
  <c r="AY224"/>
  <c r="BQ224" s="1"/>
  <c r="AW224"/>
  <c r="BO224" s="1"/>
  <c r="AU224"/>
  <c r="BM224" s="1"/>
  <c r="AS224"/>
  <c r="BB224" s="1"/>
  <c r="BS224" s="1"/>
  <c r="AR224"/>
  <c r="AQ224"/>
  <c r="AZ224" s="1"/>
  <c r="BR224" s="1"/>
  <c r="AP224"/>
  <c r="AO224"/>
  <c r="AX224" s="1"/>
  <c r="BP224" s="1"/>
  <c r="AN224"/>
  <c r="AM224"/>
  <c r="AV224" s="1"/>
  <c r="BN224" s="1"/>
  <c r="AL224"/>
  <c r="AK224"/>
  <c r="AT224" s="1"/>
  <c r="BL224" s="1"/>
  <c r="AH224"/>
  <c r="AG224"/>
  <c r="BA224" s="1"/>
  <c r="AF224"/>
  <c r="J224"/>
  <c r="L224" s="1"/>
  <c r="BK223"/>
  <c r="BJ223"/>
  <c r="BI223"/>
  <c r="BH223"/>
  <c r="BG223"/>
  <c r="BF223"/>
  <c r="BE223"/>
  <c r="BD223"/>
  <c r="BC223"/>
  <c r="AY223"/>
  <c r="BQ223" s="1"/>
  <c r="AW223"/>
  <c r="BO223" s="1"/>
  <c r="AU223"/>
  <c r="BM223" s="1"/>
  <c r="AS223"/>
  <c r="BB223" s="1"/>
  <c r="BS223" s="1"/>
  <c r="AR223"/>
  <c r="AQ223"/>
  <c r="AZ223" s="1"/>
  <c r="BR223" s="1"/>
  <c r="AP223"/>
  <c r="AO223"/>
  <c r="AX223" s="1"/>
  <c r="BP223" s="1"/>
  <c r="AN223"/>
  <c r="AM223"/>
  <c r="AV223" s="1"/>
  <c r="BN223" s="1"/>
  <c r="AL223"/>
  <c r="AK223"/>
  <c r="AT223" s="1"/>
  <c r="BL223" s="1"/>
  <c r="AH223"/>
  <c r="AG223"/>
  <c r="BA223" s="1"/>
  <c r="AF223"/>
  <c r="J223"/>
  <c r="L223" s="1"/>
  <c r="O222"/>
  <c r="N222"/>
  <c r="BK214"/>
  <c r="BJ214"/>
  <c r="BI214"/>
  <c r="BH214"/>
  <c r="BG214"/>
  <c r="BF214"/>
  <c r="BE214"/>
  <c r="BD214"/>
  <c r="BC214"/>
  <c r="AY214"/>
  <c r="BQ214" s="1"/>
  <c r="AW214"/>
  <c r="BO214" s="1"/>
  <c r="AU214"/>
  <c r="BM214" s="1"/>
  <c r="AS214"/>
  <c r="BB214" s="1"/>
  <c r="BS214" s="1"/>
  <c r="AR214"/>
  <c r="AQ214"/>
  <c r="AZ214" s="1"/>
  <c r="BR214" s="1"/>
  <c r="AP214"/>
  <c r="AO214"/>
  <c r="AX214" s="1"/>
  <c r="BP214" s="1"/>
  <c r="AN214"/>
  <c r="AM214"/>
  <c r="AV214" s="1"/>
  <c r="BN214" s="1"/>
  <c r="AL214"/>
  <c r="AK214"/>
  <c r="AT214" s="1"/>
  <c r="BL214" s="1"/>
  <c r="AH214"/>
  <c r="AG214"/>
  <c r="BA214" s="1"/>
  <c r="AF214"/>
  <c r="J214"/>
  <c r="L214" s="1"/>
  <c r="BK213"/>
  <c r="BJ213"/>
  <c r="BI213"/>
  <c r="BH213"/>
  <c r="BG213"/>
  <c r="BF213"/>
  <c r="BE213"/>
  <c r="BD213"/>
  <c r="BC213"/>
  <c r="AY213"/>
  <c r="BQ213" s="1"/>
  <c r="AW213"/>
  <c r="BO213" s="1"/>
  <c r="AU213"/>
  <c r="BM213" s="1"/>
  <c r="AS213"/>
  <c r="BB213" s="1"/>
  <c r="BS213" s="1"/>
  <c r="AR213"/>
  <c r="AQ213"/>
  <c r="AZ213" s="1"/>
  <c r="BR213" s="1"/>
  <c r="AP213"/>
  <c r="AO213"/>
  <c r="AX213" s="1"/>
  <c r="BP213" s="1"/>
  <c r="AN213"/>
  <c r="AM213"/>
  <c r="AV213" s="1"/>
  <c r="BN213" s="1"/>
  <c r="AL213"/>
  <c r="AK213"/>
  <c r="AT213" s="1"/>
  <c r="BL213" s="1"/>
  <c r="AH213"/>
  <c r="AG213"/>
  <c r="BA213" s="1"/>
  <c r="AF213"/>
  <c r="J213"/>
  <c r="L213" s="1"/>
  <c r="BO211"/>
  <c r="BK211"/>
  <c r="BJ211"/>
  <c r="BI211"/>
  <c r="BH211"/>
  <c r="BG211"/>
  <c r="BF211"/>
  <c r="BE211"/>
  <c r="BD211"/>
  <c r="BC211"/>
  <c r="AY211"/>
  <c r="BQ211" s="1"/>
  <c r="AW211"/>
  <c r="AU211"/>
  <c r="BM211" s="1"/>
  <c r="AS211"/>
  <c r="AR211"/>
  <c r="AQ211"/>
  <c r="AP211"/>
  <c r="AO211"/>
  <c r="AX211" s="1"/>
  <c r="AN211"/>
  <c r="AM211"/>
  <c r="AV211" s="1"/>
  <c r="AL211"/>
  <c r="AK211"/>
  <c r="AT211" s="1"/>
  <c r="AH211"/>
  <c r="AG211"/>
  <c r="BA211" s="1"/>
  <c r="AF211"/>
  <c r="J211"/>
  <c r="K211" s="1"/>
  <c r="BQ210"/>
  <c r="BM210"/>
  <c r="BK210"/>
  <c r="BJ210"/>
  <c r="BI210"/>
  <c r="BH210"/>
  <c r="BG210"/>
  <c r="BF210"/>
  <c r="BE210"/>
  <c r="BD210"/>
  <c r="BC210"/>
  <c r="AY210"/>
  <c r="AW210"/>
  <c r="BO210" s="1"/>
  <c r="AU210"/>
  <c r="AS210"/>
  <c r="AR210"/>
  <c r="AQ210"/>
  <c r="AP210"/>
  <c r="AO210"/>
  <c r="AX210" s="1"/>
  <c r="BP210" s="1"/>
  <c r="AN210"/>
  <c r="AM210"/>
  <c r="AV210" s="1"/>
  <c r="BN210" s="1"/>
  <c r="AL210"/>
  <c r="AK210"/>
  <c r="AT210" s="1"/>
  <c r="BL210" s="1"/>
  <c r="AH210"/>
  <c r="AG210"/>
  <c r="BA210" s="1"/>
  <c r="AF210"/>
  <c r="L210"/>
  <c r="J210"/>
  <c r="K210" s="1"/>
  <c r="BO209"/>
  <c r="BK209"/>
  <c r="BJ209"/>
  <c r="BI209"/>
  <c r="BH209"/>
  <c r="BG209"/>
  <c r="BF209"/>
  <c r="BE209"/>
  <c r="BD209"/>
  <c r="BC209"/>
  <c r="AY209"/>
  <c r="BQ209" s="1"/>
  <c r="AW209"/>
  <c r="AU209"/>
  <c r="BM209" s="1"/>
  <c r="AS209"/>
  <c r="AR209"/>
  <c r="AQ209"/>
  <c r="AP209"/>
  <c r="AO209"/>
  <c r="AX209" s="1"/>
  <c r="AN209"/>
  <c r="AM209"/>
  <c r="AV209" s="1"/>
  <c r="AL209"/>
  <c r="AK209"/>
  <c r="AT209" s="1"/>
  <c r="AH209"/>
  <c r="AG209"/>
  <c r="BA209" s="1"/>
  <c r="AF209"/>
  <c r="J209"/>
  <c r="K209" s="1"/>
  <c r="BQ208"/>
  <c r="BM208"/>
  <c r="BK208"/>
  <c r="BJ208"/>
  <c r="BI208"/>
  <c r="BH208"/>
  <c r="BG208"/>
  <c r="BF208"/>
  <c r="BE208"/>
  <c r="BD208"/>
  <c r="BC208"/>
  <c r="AY208"/>
  <c r="AW208"/>
  <c r="BO208" s="1"/>
  <c r="AU208"/>
  <c r="AS208"/>
  <c r="AR208"/>
  <c r="AQ208"/>
  <c r="AP208"/>
  <c r="AO208"/>
  <c r="AX208" s="1"/>
  <c r="BP208" s="1"/>
  <c r="AN208"/>
  <c r="AM208"/>
  <c r="AV208" s="1"/>
  <c r="BN208" s="1"/>
  <c r="AL208"/>
  <c r="AK208"/>
  <c r="AT208" s="1"/>
  <c r="BL208" s="1"/>
  <c r="AH208"/>
  <c r="AG208"/>
  <c r="BA208" s="1"/>
  <c r="AF208"/>
  <c r="L208"/>
  <c r="J208"/>
  <c r="K208" s="1"/>
  <c r="BK207"/>
  <c r="BJ207"/>
  <c r="BI207"/>
  <c r="BH207"/>
  <c r="BG207"/>
  <c r="BF207"/>
  <c r="BE207"/>
  <c r="BD207"/>
  <c r="BC207"/>
  <c r="AY207"/>
  <c r="BQ207" s="1"/>
  <c r="AW207"/>
  <c r="BO207" s="1"/>
  <c r="AU207"/>
  <c r="BM207" s="1"/>
  <c r="AS207"/>
  <c r="BB207" s="1"/>
  <c r="BS207" s="1"/>
  <c r="AR207"/>
  <c r="AQ207"/>
  <c r="AZ207" s="1"/>
  <c r="BR207" s="1"/>
  <c r="AP207"/>
  <c r="AO207"/>
  <c r="AX207" s="1"/>
  <c r="BP207" s="1"/>
  <c r="AN207"/>
  <c r="AM207"/>
  <c r="AV207" s="1"/>
  <c r="BN207" s="1"/>
  <c r="AL207"/>
  <c r="AK207"/>
  <c r="AT207" s="1"/>
  <c r="BL207" s="1"/>
  <c r="AH207"/>
  <c r="AG207"/>
  <c r="BA207" s="1"/>
  <c r="AF207"/>
  <c r="J207"/>
  <c r="K207" s="1"/>
  <c r="BT207" s="1"/>
  <c r="BK206"/>
  <c r="BJ206"/>
  <c r="BI206"/>
  <c r="BH206"/>
  <c r="BG206"/>
  <c r="BF206"/>
  <c r="BE206"/>
  <c r="BD206"/>
  <c r="BC206"/>
  <c r="AY206"/>
  <c r="BQ206" s="1"/>
  <c r="AW206"/>
  <c r="BO206" s="1"/>
  <c r="AU206"/>
  <c r="BM206" s="1"/>
  <c r="AS206"/>
  <c r="BB206" s="1"/>
  <c r="BS206" s="1"/>
  <c r="AR206"/>
  <c r="AQ206"/>
  <c r="AZ206" s="1"/>
  <c r="BR206" s="1"/>
  <c r="AP206"/>
  <c r="AO206"/>
  <c r="AX206" s="1"/>
  <c r="BP206" s="1"/>
  <c r="AN206"/>
  <c r="AM206"/>
  <c r="AV206" s="1"/>
  <c r="BN206" s="1"/>
  <c r="AL206"/>
  <c r="AK206"/>
  <c r="AT206" s="1"/>
  <c r="BL206" s="1"/>
  <c r="AH206"/>
  <c r="AG206"/>
  <c r="BA206" s="1"/>
  <c r="AF206"/>
  <c r="J206"/>
  <c r="K206" s="1"/>
  <c r="O205"/>
  <c r="N205"/>
  <c r="BK203"/>
  <c r="BJ203"/>
  <c r="BI203"/>
  <c r="BH203"/>
  <c r="BG203"/>
  <c r="BF203"/>
  <c r="BE203"/>
  <c r="BD203"/>
  <c r="BC203"/>
  <c r="AY203"/>
  <c r="BQ203" s="1"/>
  <c r="AW203"/>
  <c r="BO203" s="1"/>
  <c r="AU203"/>
  <c r="BM203" s="1"/>
  <c r="AS203"/>
  <c r="BB203" s="1"/>
  <c r="BS203" s="1"/>
  <c r="AR203"/>
  <c r="AQ203"/>
  <c r="AZ203" s="1"/>
  <c r="BR203" s="1"/>
  <c r="AP203"/>
  <c r="AO203"/>
  <c r="AX203" s="1"/>
  <c r="BP203" s="1"/>
  <c r="AN203"/>
  <c r="AM203"/>
  <c r="AV203" s="1"/>
  <c r="BN203" s="1"/>
  <c r="AL203"/>
  <c r="AK203"/>
  <c r="AT203" s="1"/>
  <c r="BL203" s="1"/>
  <c r="AH203"/>
  <c r="AG203"/>
  <c r="BA203" s="1"/>
  <c r="AF203"/>
  <c r="J203"/>
  <c r="K203" s="1"/>
  <c r="BT203" s="1"/>
  <c r="BK202"/>
  <c r="BJ202"/>
  <c r="BI202"/>
  <c r="BH202"/>
  <c r="BG202"/>
  <c r="BF202"/>
  <c r="BE202"/>
  <c r="BD202"/>
  <c r="BC202"/>
  <c r="AY202"/>
  <c r="BQ202" s="1"/>
  <c r="AW202"/>
  <c r="BO202" s="1"/>
  <c r="AU202"/>
  <c r="BM202" s="1"/>
  <c r="AS202"/>
  <c r="BB202" s="1"/>
  <c r="BS202" s="1"/>
  <c r="AR202"/>
  <c r="AQ202"/>
  <c r="AZ202" s="1"/>
  <c r="BR202" s="1"/>
  <c r="AP202"/>
  <c r="AO202"/>
  <c r="AX202" s="1"/>
  <c r="BP202" s="1"/>
  <c r="AN202"/>
  <c r="AM202"/>
  <c r="AV202" s="1"/>
  <c r="BN202" s="1"/>
  <c r="AL202"/>
  <c r="AK202"/>
  <c r="AT202" s="1"/>
  <c r="BL202" s="1"/>
  <c r="AH202"/>
  <c r="AG202"/>
  <c r="BA202" s="1"/>
  <c r="AF202"/>
  <c r="J202"/>
  <c r="K202" s="1"/>
  <c r="BK201"/>
  <c r="BJ201"/>
  <c r="BI201"/>
  <c r="BH201"/>
  <c r="BG201"/>
  <c r="BF201"/>
  <c r="BE201"/>
  <c r="BD201"/>
  <c r="BC201"/>
  <c r="AY201"/>
  <c r="BQ201" s="1"/>
  <c r="AW201"/>
  <c r="BO201" s="1"/>
  <c r="AU201"/>
  <c r="BM201" s="1"/>
  <c r="AS201"/>
  <c r="BB201" s="1"/>
  <c r="BS201" s="1"/>
  <c r="AR201"/>
  <c r="AQ201"/>
  <c r="AZ201" s="1"/>
  <c r="BR201" s="1"/>
  <c r="AP201"/>
  <c r="AO201"/>
  <c r="AX201" s="1"/>
  <c r="BP201" s="1"/>
  <c r="AN201"/>
  <c r="AM201"/>
  <c r="AV201" s="1"/>
  <c r="BN201" s="1"/>
  <c r="AL201"/>
  <c r="AK201"/>
  <c r="AT201" s="1"/>
  <c r="BL201" s="1"/>
  <c r="AH201"/>
  <c r="AG201"/>
  <c r="BA201" s="1"/>
  <c r="AF201"/>
  <c r="J201"/>
  <c r="K201" s="1"/>
  <c r="BT201" s="1"/>
  <c r="BK200"/>
  <c r="BJ200"/>
  <c r="BI200"/>
  <c r="BH200"/>
  <c r="BG200"/>
  <c r="BF200"/>
  <c r="BE200"/>
  <c r="BD200"/>
  <c r="BC200"/>
  <c r="AY200"/>
  <c r="BQ200" s="1"/>
  <c r="AW200"/>
  <c r="BO200" s="1"/>
  <c r="AU200"/>
  <c r="BM200" s="1"/>
  <c r="AS200"/>
  <c r="BB200" s="1"/>
  <c r="BS200" s="1"/>
  <c r="AR200"/>
  <c r="AQ200"/>
  <c r="AZ200" s="1"/>
  <c r="BR200" s="1"/>
  <c r="AP200"/>
  <c r="AO200"/>
  <c r="AX200" s="1"/>
  <c r="BP200" s="1"/>
  <c r="AN200"/>
  <c r="AM200"/>
  <c r="AV200" s="1"/>
  <c r="BN200" s="1"/>
  <c r="AL200"/>
  <c r="AK200"/>
  <c r="AT200" s="1"/>
  <c r="BL200" s="1"/>
  <c r="AH200"/>
  <c r="AG200"/>
  <c r="BA200" s="1"/>
  <c r="AF200"/>
  <c r="J200"/>
  <c r="K200" s="1"/>
  <c r="BK199"/>
  <c r="BJ199"/>
  <c r="BI199"/>
  <c r="BH199"/>
  <c r="BG199"/>
  <c r="BF199"/>
  <c r="BE199"/>
  <c r="BD199"/>
  <c r="BC199"/>
  <c r="AY199"/>
  <c r="BQ199" s="1"/>
  <c r="AW199"/>
  <c r="BO199" s="1"/>
  <c r="AU199"/>
  <c r="BM199" s="1"/>
  <c r="AS199"/>
  <c r="BB199" s="1"/>
  <c r="BS199" s="1"/>
  <c r="AR199"/>
  <c r="AQ199"/>
  <c r="AZ199" s="1"/>
  <c r="BR199" s="1"/>
  <c r="AP199"/>
  <c r="AO199"/>
  <c r="AX199" s="1"/>
  <c r="BP199" s="1"/>
  <c r="AN199"/>
  <c r="AM199"/>
  <c r="AV199" s="1"/>
  <c r="BN199" s="1"/>
  <c r="AL199"/>
  <c r="AK199"/>
  <c r="AT199" s="1"/>
  <c r="BL199" s="1"/>
  <c r="AH199"/>
  <c r="AG199"/>
  <c r="BA199" s="1"/>
  <c r="AF199"/>
  <c r="J199"/>
  <c r="K199" s="1"/>
  <c r="O198"/>
  <c r="N198"/>
  <c r="BK189"/>
  <c r="BJ189"/>
  <c r="BI189"/>
  <c r="BH189"/>
  <c r="BG189"/>
  <c r="BF189"/>
  <c r="BE189"/>
  <c r="BD189"/>
  <c r="BC189"/>
  <c r="AY189"/>
  <c r="BQ189" s="1"/>
  <c r="AW189"/>
  <c r="BO189" s="1"/>
  <c r="AU189"/>
  <c r="BM189" s="1"/>
  <c r="AS189"/>
  <c r="BB189" s="1"/>
  <c r="BS189" s="1"/>
  <c r="AR189"/>
  <c r="AQ189"/>
  <c r="AZ189" s="1"/>
  <c r="BR189" s="1"/>
  <c r="AP189"/>
  <c r="AO189"/>
  <c r="AX189" s="1"/>
  <c r="BP189" s="1"/>
  <c r="AN189"/>
  <c r="AM189"/>
  <c r="AV189" s="1"/>
  <c r="BN189" s="1"/>
  <c r="AL189"/>
  <c r="AK189"/>
  <c r="AT189" s="1"/>
  <c r="BL189" s="1"/>
  <c r="AH189"/>
  <c r="AG189"/>
  <c r="BA189" s="1"/>
  <c r="AF189"/>
  <c r="J189"/>
  <c r="K189" s="1"/>
  <c r="BK188"/>
  <c r="BJ188"/>
  <c r="BI188"/>
  <c r="BH188"/>
  <c r="BG188"/>
  <c r="BF188"/>
  <c r="BE188"/>
  <c r="BD188"/>
  <c r="BC188"/>
  <c r="AY188"/>
  <c r="BQ188" s="1"/>
  <c r="AW188"/>
  <c r="BO188" s="1"/>
  <c r="AU188"/>
  <c r="BM188" s="1"/>
  <c r="AS188"/>
  <c r="BB188" s="1"/>
  <c r="BS188" s="1"/>
  <c r="AR188"/>
  <c r="AQ188"/>
  <c r="AZ188" s="1"/>
  <c r="BR188" s="1"/>
  <c r="AP188"/>
  <c r="AO188"/>
  <c r="AX188" s="1"/>
  <c r="BP188" s="1"/>
  <c r="AN188"/>
  <c r="AM188"/>
  <c r="AV188" s="1"/>
  <c r="BN188" s="1"/>
  <c r="AL188"/>
  <c r="AK188"/>
  <c r="AT188" s="1"/>
  <c r="BL188" s="1"/>
  <c r="AH188"/>
  <c r="AG188"/>
  <c r="BA188" s="1"/>
  <c r="AF188"/>
  <c r="J188"/>
  <c r="K188" s="1"/>
  <c r="BT188" s="1"/>
  <c r="BK187"/>
  <c r="BJ187"/>
  <c r="BI187"/>
  <c r="AS187"/>
  <c r="BB187" s="1"/>
  <c r="BS187" s="1"/>
  <c r="AR187"/>
  <c r="AQ187"/>
  <c r="AZ187" s="1"/>
  <c r="BR187" s="1"/>
  <c r="AG187"/>
  <c r="AF187"/>
  <c r="Y187"/>
  <c r="AH187" s="1"/>
  <c r="S187"/>
  <c r="BH187" s="1"/>
  <c r="R187"/>
  <c r="BG187" s="1"/>
  <c r="Q187"/>
  <c r="BF187" s="1"/>
  <c r="P187"/>
  <c r="BE187" s="1"/>
  <c r="O187"/>
  <c r="BD187" s="1"/>
  <c r="N187"/>
  <c r="BC187" s="1"/>
  <c r="K187"/>
  <c r="J187"/>
  <c r="L187" s="1"/>
  <c r="BK186"/>
  <c r="BJ186"/>
  <c r="BI186"/>
  <c r="AS186"/>
  <c r="AR186"/>
  <c r="BA186" s="1"/>
  <c r="AQ186"/>
  <c r="AH186"/>
  <c r="AG186"/>
  <c r="AF186"/>
  <c r="BB186" s="1"/>
  <c r="BS186" s="1"/>
  <c r="Y186"/>
  <c r="S186"/>
  <c r="BH186" s="1"/>
  <c r="R186"/>
  <c r="BG186" s="1"/>
  <c r="Q186"/>
  <c r="BF186" s="1"/>
  <c r="P186"/>
  <c r="BE186" s="1"/>
  <c r="O186"/>
  <c r="BD186" s="1"/>
  <c r="N186"/>
  <c r="BC186" s="1"/>
  <c r="J186"/>
  <c r="K186" s="1"/>
  <c r="BK185"/>
  <c r="BJ185"/>
  <c r="BI185"/>
  <c r="AS185"/>
  <c r="BB185" s="1"/>
  <c r="BS185" s="1"/>
  <c r="AR185"/>
  <c r="AQ185"/>
  <c r="AZ185" s="1"/>
  <c r="BR185" s="1"/>
  <c r="AG185"/>
  <c r="AF185"/>
  <c r="Y185"/>
  <c r="AH185" s="1"/>
  <c r="R185"/>
  <c r="BG185" s="1"/>
  <c r="P185"/>
  <c r="BE185" s="1"/>
  <c r="K185"/>
  <c r="J185"/>
  <c r="L185" s="1"/>
  <c r="BK184"/>
  <c r="BJ184"/>
  <c r="BI184"/>
  <c r="BH184"/>
  <c r="BG184"/>
  <c r="BF184"/>
  <c r="BE184"/>
  <c r="BD184"/>
  <c r="BC184"/>
  <c r="AX184"/>
  <c r="BP184" s="1"/>
  <c r="AV184"/>
  <c r="BN184" s="1"/>
  <c r="AT184"/>
  <c r="BL184" s="1"/>
  <c r="AS184"/>
  <c r="AR184"/>
  <c r="BA184" s="1"/>
  <c r="AQ184"/>
  <c r="AP184"/>
  <c r="AY184" s="1"/>
  <c r="BQ184" s="1"/>
  <c r="AO184"/>
  <c r="AN184"/>
  <c r="AW184" s="1"/>
  <c r="BO184" s="1"/>
  <c r="AM184"/>
  <c r="AL184"/>
  <c r="AU184" s="1"/>
  <c r="BM184" s="1"/>
  <c r="AK184"/>
  <c r="AH184"/>
  <c r="AG184"/>
  <c r="AF184"/>
  <c r="BB184" s="1"/>
  <c r="BS184" s="1"/>
  <c r="K184"/>
  <c r="J184"/>
  <c r="L184" s="1"/>
  <c r="BK183"/>
  <c r="BJ183"/>
  <c r="BI183"/>
  <c r="BH183"/>
  <c r="BG183"/>
  <c r="BF183"/>
  <c r="BE183"/>
  <c r="BD183"/>
  <c r="BC183"/>
  <c r="AX183"/>
  <c r="BP183" s="1"/>
  <c r="AV183"/>
  <c r="BN183" s="1"/>
  <c r="AT183"/>
  <c r="BL183" s="1"/>
  <c r="AS183"/>
  <c r="AR183"/>
  <c r="BA183" s="1"/>
  <c r="AQ183"/>
  <c r="AP183"/>
  <c r="AY183" s="1"/>
  <c r="BQ183" s="1"/>
  <c r="AO183"/>
  <c r="AN183"/>
  <c r="AW183" s="1"/>
  <c r="BO183" s="1"/>
  <c r="AM183"/>
  <c r="AL183"/>
  <c r="AU183" s="1"/>
  <c r="BM183" s="1"/>
  <c r="AK183"/>
  <c r="AH183"/>
  <c r="AG183"/>
  <c r="AF183"/>
  <c r="BB183" s="1"/>
  <c r="BS183" s="1"/>
  <c r="K183"/>
  <c r="J183"/>
  <c r="L183" s="1"/>
  <c r="BK182"/>
  <c r="BJ182"/>
  <c r="BI182"/>
  <c r="BH182"/>
  <c r="BG182"/>
  <c r="BF182"/>
  <c r="BE182"/>
  <c r="BD182"/>
  <c r="BC182"/>
  <c r="AX182"/>
  <c r="BP182" s="1"/>
  <c r="AV182"/>
  <c r="BN182" s="1"/>
  <c r="AT182"/>
  <c r="BL182" s="1"/>
  <c r="AS182"/>
  <c r="AR182"/>
  <c r="BA182" s="1"/>
  <c r="AQ182"/>
  <c r="AP182"/>
  <c r="AY182" s="1"/>
  <c r="BQ182" s="1"/>
  <c r="AO182"/>
  <c r="AN182"/>
  <c r="AW182" s="1"/>
  <c r="BO182" s="1"/>
  <c r="AM182"/>
  <c r="AL182"/>
  <c r="AU182" s="1"/>
  <c r="BM182" s="1"/>
  <c r="AK182"/>
  <c r="AH182"/>
  <c r="AG182"/>
  <c r="AF182"/>
  <c r="BB182" s="1"/>
  <c r="BS182" s="1"/>
  <c r="K182"/>
  <c r="J182"/>
  <c r="L182" s="1"/>
  <c r="BK181"/>
  <c r="BJ181"/>
  <c r="BI181"/>
  <c r="AS181"/>
  <c r="AR181"/>
  <c r="BA181" s="1"/>
  <c r="AQ181"/>
  <c r="AH181"/>
  <c r="AG181"/>
  <c r="AF181"/>
  <c r="BB181" s="1"/>
  <c r="BS181" s="1"/>
  <c r="Y181"/>
  <c r="S181"/>
  <c r="S185" s="1"/>
  <c r="R181"/>
  <c r="BG181" s="1"/>
  <c r="Q181"/>
  <c r="Q185" s="1"/>
  <c r="P181"/>
  <c r="BE181" s="1"/>
  <c r="O181"/>
  <c r="O185" s="1"/>
  <c r="J181"/>
  <c r="K181" s="1"/>
  <c r="BK180"/>
  <c r="BJ180"/>
  <c r="BI180"/>
  <c r="AS180"/>
  <c r="AR180"/>
  <c r="AQ180"/>
  <c r="AG180"/>
  <c r="AF180"/>
  <c r="Y180"/>
  <c r="AH180" s="1"/>
  <c r="S180"/>
  <c r="BH180" s="1"/>
  <c r="R180"/>
  <c r="BG180" s="1"/>
  <c r="Q180"/>
  <c r="BF180" s="1"/>
  <c r="P180"/>
  <c r="BE180" s="1"/>
  <c r="O180"/>
  <c r="BD180" s="1"/>
  <c r="N180"/>
  <c r="N181" s="1"/>
  <c r="K180"/>
  <c r="J180"/>
  <c r="L180" s="1"/>
  <c r="BK179"/>
  <c r="BJ179"/>
  <c r="BI179"/>
  <c r="AS179"/>
  <c r="AR179"/>
  <c r="AQ179"/>
  <c r="AG179"/>
  <c r="AF179"/>
  <c r="S179"/>
  <c r="BH179" s="1"/>
  <c r="R179"/>
  <c r="BG179" s="1"/>
  <c r="Q179"/>
  <c r="BF179" s="1"/>
  <c r="P179"/>
  <c r="BE179" s="1"/>
  <c r="O179"/>
  <c r="BD179" s="1"/>
  <c r="N179"/>
  <c r="BC179" s="1"/>
  <c r="J179"/>
  <c r="K179" s="1"/>
  <c r="BK178"/>
  <c r="BJ178"/>
  <c r="BI178"/>
  <c r="BH178"/>
  <c r="BG178"/>
  <c r="BF178"/>
  <c r="BE178"/>
  <c r="BD178"/>
  <c r="BC178"/>
  <c r="AY178"/>
  <c r="BQ178" s="1"/>
  <c r="AW178"/>
  <c r="BO178" s="1"/>
  <c r="AU178"/>
  <c r="BM178" s="1"/>
  <c r="AS178"/>
  <c r="BB178" s="1"/>
  <c r="BS178" s="1"/>
  <c r="AR178"/>
  <c r="AQ178"/>
  <c r="AZ178" s="1"/>
  <c r="BR178" s="1"/>
  <c r="AP178"/>
  <c r="AO178"/>
  <c r="AX178" s="1"/>
  <c r="BP178" s="1"/>
  <c r="AN178"/>
  <c r="AM178"/>
  <c r="AV178" s="1"/>
  <c r="BN178" s="1"/>
  <c r="AL178"/>
  <c r="AK178"/>
  <c r="AT178" s="1"/>
  <c r="BL178" s="1"/>
  <c r="AH178"/>
  <c r="AG178"/>
  <c r="BA178" s="1"/>
  <c r="AF178"/>
  <c r="J178"/>
  <c r="K178" s="1"/>
  <c r="BT178" s="1"/>
  <c r="BK177"/>
  <c r="BJ177"/>
  <c r="BI177"/>
  <c r="BH177"/>
  <c r="BG177"/>
  <c r="BF177"/>
  <c r="BE177"/>
  <c r="BD177"/>
  <c r="BC177"/>
  <c r="AY177"/>
  <c r="BQ177" s="1"/>
  <c r="AW177"/>
  <c r="BO177" s="1"/>
  <c r="AU177"/>
  <c r="BM177" s="1"/>
  <c r="AS177"/>
  <c r="BB177" s="1"/>
  <c r="BS177" s="1"/>
  <c r="AR177"/>
  <c r="AQ177"/>
  <c r="AZ177" s="1"/>
  <c r="BR177" s="1"/>
  <c r="AP177"/>
  <c r="AO177"/>
  <c r="AX177" s="1"/>
  <c r="BP177" s="1"/>
  <c r="AN177"/>
  <c r="AM177"/>
  <c r="AV177" s="1"/>
  <c r="BN177" s="1"/>
  <c r="AL177"/>
  <c r="AK177"/>
  <c r="AT177" s="1"/>
  <c r="BL177" s="1"/>
  <c r="AH177"/>
  <c r="AG177"/>
  <c r="BA177" s="1"/>
  <c r="AF177"/>
  <c r="J177"/>
  <c r="K177" s="1"/>
  <c r="BK176"/>
  <c r="BJ176"/>
  <c r="BI176"/>
  <c r="BH176"/>
  <c r="BG176"/>
  <c r="BF176"/>
  <c r="BE176"/>
  <c r="BD176"/>
  <c r="BC176"/>
  <c r="AY176"/>
  <c r="BQ176" s="1"/>
  <c r="AW176"/>
  <c r="BO176" s="1"/>
  <c r="AU176"/>
  <c r="BM176" s="1"/>
  <c r="AS176"/>
  <c r="BB176" s="1"/>
  <c r="BS176" s="1"/>
  <c r="AR176"/>
  <c r="AQ176"/>
  <c r="AZ176" s="1"/>
  <c r="BR176" s="1"/>
  <c r="AP176"/>
  <c r="AO176"/>
  <c r="AX176" s="1"/>
  <c r="BP176" s="1"/>
  <c r="AN176"/>
  <c r="AM176"/>
  <c r="AV176" s="1"/>
  <c r="BN176" s="1"/>
  <c r="AL176"/>
  <c r="AK176"/>
  <c r="AT176" s="1"/>
  <c r="BL176" s="1"/>
  <c r="AH176"/>
  <c r="AG176"/>
  <c r="BA176" s="1"/>
  <c r="AF176"/>
  <c r="J176"/>
  <c r="K176" s="1"/>
  <c r="BT176" s="1"/>
  <c r="BK175"/>
  <c r="BJ175"/>
  <c r="BI175"/>
  <c r="BH175"/>
  <c r="BG175"/>
  <c r="BF175"/>
  <c r="BE175"/>
  <c r="BD175"/>
  <c r="BC175"/>
  <c r="AY175"/>
  <c r="BQ175" s="1"/>
  <c r="AW175"/>
  <c r="BO175" s="1"/>
  <c r="AU175"/>
  <c r="BM175" s="1"/>
  <c r="AS175"/>
  <c r="AR175"/>
  <c r="AQ175"/>
  <c r="AP175"/>
  <c r="AO175"/>
  <c r="AX175" s="1"/>
  <c r="BP175" s="1"/>
  <c r="AN175"/>
  <c r="AM175"/>
  <c r="AV175" s="1"/>
  <c r="BN175" s="1"/>
  <c r="AL175"/>
  <c r="AK175"/>
  <c r="AT175" s="1"/>
  <c r="BL175" s="1"/>
  <c r="AG175"/>
  <c r="AF175"/>
  <c r="Y175"/>
  <c r="Y179" s="1"/>
  <c r="AH179" s="1"/>
  <c r="K175"/>
  <c r="J175"/>
  <c r="L175" s="1"/>
  <c r="O174"/>
  <c r="N174"/>
  <c r="BK171"/>
  <c r="BJ171"/>
  <c r="BI171"/>
  <c r="BH171"/>
  <c r="BG171"/>
  <c r="BF171"/>
  <c r="BE171"/>
  <c r="BD171"/>
  <c r="BC171"/>
  <c r="AY171"/>
  <c r="BQ171" s="1"/>
  <c r="AW171"/>
  <c r="BO171" s="1"/>
  <c r="AU171"/>
  <c r="BM171" s="1"/>
  <c r="AS171"/>
  <c r="BB171" s="1"/>
  <c r="AR171"/>
  <c r="AQ171"/>
  <c r="AZ171" s="1"/>
  <c r="BR171" s="1"/>
  <c r="AP171"/>
  <c r="AO171"/>
  <c r="AX171" s="1"/>
  <c r="BP171" s="1"/>
  <c r="AN171"/>
  <c r="AM171"/>
  <c r="AV171" s="1"/>
  <c r="BN171" s="1"/>
  <c r="AL171"/>
  <c r="AK171"/>
  <c r="AT171" s="1"/>
  <c r="BL171" s="1"/>
  <c r="AH171"/>
  <c r="AG171"/>
  <c r="BA171" s="1"/>
  <c r="AF171"/>
  <c r="J171"/>
  <c r="K171" s="1"/>
  <c r="BK170"/>
  <c r="BJ170"/>
  <c r="BI170"/>
  <c r="BH170"/>
  <c r="BG170"/>
  <c r="BF170"/>
  <c r="BE170"/>
  <c r="BD170"/>
  <c r="BC170"/>
  <c r="AY170"/>
  <c r="BQ170" s="1"/>
  <c r="AW170"/>
  <c r="BO170" s="1"/>
  <c r="AU170"/>
  <c r="BM170" s="1"/>
  <c r="AS170"/>
  <c r="BB170" s="1"/>
  <c r="BS170" s="1"/>
  <c r="AR170"/>
  <c r="AQ170"/>
  <c r="AZ170" s="1"/>
  <c r="BR170" s="1"/>
  <c r="AP170"/>
  <c r="AO170"/>
  <c r="AX170" s="1"/>
  <c r="BP170" s="1"/>
  <c r="AN170"/>
  <c r="AM170"/>
  <c r="AV170" s="1"/>
  <c r="BN170" s="1"/>
  <c r="AL170"/>
  <c r="AK170"/>
  <c r="AT170" s="1"/>
  <c r="BL170" s="1"/>
  <c r="AH170"/>
  <c r="AG170"/>
  <c r="BA170" s="1"/>
  <c r="AF170"/>
  <c r="J170"/>
  <c r="L170" s="1"/>
  <c r="G170"/>
  <c r="K170" s="1"/>
  <c r="BK169"/>
  <c r="BJ169"/>
  <c r="BI169"/>
  <c r="BH169"/>
  <c r="BG169"/>
  <c r="BF169"/>
  <c r="BE169"/>
  <c r="BD169"/>
  <c r="BC169"/>
  <c r="AX169"/>
  <c r="BP169" s="1"/>
  <c r="AV169"/>
  <c r="BN169" s="1"/>
  <c r="AT169"/>
  <c r="BL169" s="1"/>
  <c r="AS169"/>
  <c r="AR169"/>
  <c r="BA169" s="1"/>
  <c r="AQ169"/>
  <c r="AP169"/>
  <c r="AY169" s="1"/>
  <c r="BQ169" s="1"/>
  <c r="AO169"/>
  <c r="AN169"/>
  <c r="AW169" s="1"/>
  <c r="BO169" s="1"/>
  <c r="AM169"/>
  <c r="AL169"/>
  <c r="AU169" s="1"/>
  <c r="BM169" s="1"/>
  <c r="AK169"/>
  <c r="AH169"/>
  <c r="AG169"/>
  <c r="AF169"/>
  <c r="BB169" s="1"/>
  <c r="BS169" s="1"/>
  <c r="K169"/>
  <c r="J169"/>
  <c r="L169" s="1"/>
  <c r="BK168"/>
  <c r="BJ168"/>
  <c r="BI168"/>
  <c r="BH168"/>
  <c r="BG168"/>
  <c r="BF168"/>
  <c r="BE168"/>
  <c r="BD168"/>
  <c r="BC168"/>
  <c r="AX168"/>
  <c r="BP168" s="1"/>
  <c r="AV168"/>
  <c r="BN168" s="1"/>
  <c r="AT168"/>
  <c r="BL168" s="1"/>
  <c r="AP168"/>
  <c r="AY168" s="1"/>
  <c r="BQ168" s="1"/>
  <c r="AO168"/>
  <c r="AN168"/>
  <c r="AW168" s="1"/>
  <c r="BO168" s="1"/>
  <c r="AM168"/>
  <c r="AL168"/>
  <c r="AU168" s="1"/>
  <c r="BM168" s="1"/>
  <c r="AK168"/>
  <c r="AH168"/>
  <c r="AG168"/>
  <c r="AF168"/>
  <c r="H168"/>
  <c r="J168" s="1"/>
  <c r="G168"/>
  <c r="AS168" s="1"/>
  <c r="BB168" s="1"/>
  <c r="BS168" s="1"/>
  <c r="BK167"/>
  <c r="BJ167"/>
  <c r="BI167"/>
  <c r="BH167"/>
  <c r="BG167"/>
  <c r="BF167"/>
  <c r="BE167"/>
  <c r="BD167"/>
  <c r="BC167"/>
  <c r="AX167"/>
  <c r="BP167" s="1"/>
  <c r="AV167"/>
  <c r="BN167" s="1"/>
  <c r="AT167"/>
  <c r="BL167" s="1"/>
  <c r="AS167"/>
  <c r="AR167"/>
  <c r="BA167" s="1"/>
  <c r="AQ167"/>
  <c r="AP167"/>
  <c r="AY167" s="1"/>
  <c r="BQ167" s="1"/>
  <c r="AO167"/>
  <c r="AN167"/>
  <c r="AW167" s="1"/>
  <c r="BO167" s="1"/>
  <c r="AM167"/>
  <c r="AL167"/>
  <c r="AU167" s="1"/>
  <c r="BM167" s="1"/>
  <c r="AK167"/>
  <c r="AH167"/>
  <c r="AG167"/>
  <c r="AF167"/>
  <c r="BB167" s="1"/>
  <c r="BS167" s="1"/>
  <c r="K167"/>
  <c r="J167"/>
  <c r="L167" s="1"/>
  <c r="BK166"/>
  <c r="BJ166"/>
  <c r="BI166"/>
  <c r="BH166"/>
  <c r="BG166"/>
  <c r="BF166"/>
  <c r="BE166"/>
  <c r="BD166"/>
  <c r="BC166"/>
  <c r="AX166"/>
  <c r="BP166" s="1"/>
  <c r="AV166"/>
  <c r="BN166" s="1"/>
  <c r="AT166"/>
  <c r="BL166" s="1"/>
  <c r="AS166"/>
  <c r="AR166"/>
  <c r="BA166" s="1"/>
  <c r="AQ166"/>
  <c r="AP166"/>
  <c r="AY166" s="1"/>
  <c r="BQ166" s="1"/>
  <c r="AO166"/>
  <c r="AN166"/>
  <c r="AW166" s="1"/>
  <c r="BO166" s="1"/>
  <c r="AM166"/>
  <c r="AL166"/>
  <c r="AU166" s="1"/>
  <c r="BM166" s="1"/>
  <c r="AK166"/>
  <c r="AH166"/>
  <c r="AG166"/>
  <c r="AF166"/>
  <c r="BB166" s="1"/>
  <c r="BS166" s="1"/>
  <c r="K166"/>
  <c r="J166"/>
  <c r="L166" s="1"/>
  <c r="BK165"/>
  <c r="BJ165"/>
  <c r="BI165"/>
  <c r="BH165"/>
  <c r="BG165"/>
  <c r="BF165"/>
  <c r="BE165"/>
  <c r="BD165"/>
  <c r="BC165"/>
  <c r="AX165"/>
  <c r="BP165" s="1"/>
  <c r="AV165"/>
  <c r="BN165" s="1"/>
  <c r="AT165"/>
  <c r="BL165" s="1"/>
  <c r="AS165"/>
  <c r="AR165"/>
  <c r="BA165" s="1"/>
  <c r="AQ165"/>
  <c r="AP165"/>
  <c r="AY165" s="1"/>
  <c r="BQ165" s="1"/>
  <c r="AO165"/>
  <c r="AN165"/>
  <c r="AW165" s="1"/>
  <c r="BO165" s="1"/>
  <c r="AM165"/>
  <c r="AL165"/>
  <c r="AU165" s="1"/>
  <c r="BM165" s="1"/>
  <c r="AK165"/>
  <c r="AH165"/>
  <c r="AG165"/>
  <c r="AF165"/>
  <c r="BB165" s="1"/>
  <c r="BS165" s="1"/>
  <c r="K165"/>
  <c r="J165"/>
  <c r="L165" s="1"/>
  <c r="BK164"/>
  <c r="BJ164"/>
  <c r="BI164"/>
  <c r="BH164"/>
  <c r="BG164"/>
  <c r="BF164"/>
  <c r="BE164"/>
  <c r="BD164"/>
  <c r="BC164"/>
  <c r="AX164"/>
  <c r="BP164" s="1"/>
  <c r="AV164"/>
  <c r="BN164" s="1"/>
  <c r="AT164"/>
  <c r="BL164" s="1"/>
  <c r="AS164"/>
  <c r="AR164"/>
  <c r="BA164" s="1"/>
  <c r="AQ164"/>
  <c r="AP164"/>
  <c r="AY164" s="1"/>
  <c r="BQ164" s="1"/>
  <c r="AO164"/>
  <c r="AN164"/>
  <c r="AW164" s="1"/>
  <c r="BO164" s="1"/>
  <c r="AM164"/>
  <c r="AL164"/>
  <c r="AU164" s="1"/>
  <c r="BM164" s="1"/>
  <c r="AK164"/>
  <c r="AH164"/>
  <c r="AG164"/>
  <c r="AF164"/>
  <c r="BB164" s="1"/>
  <c r="BS164" s="1"/>
  <c r="K164"/>
  <c r="J164"/>
  <c r="L164" s="1"/>
  <c r="BK163"/>
  <c r="BJ163"/>
  <c r="BI163"/>
  <c r="BH163"/>
  <c r="BG163"/>
  <c r="BF163"/>
  <c r="BE163"/>
  <c r="BD163"/>
  <c r="BC163"/>
  <c r="AX163"/>
  <c r="BP163" s="1"/>
  <c r="AV163"/>
  <c r="BN163" s="1"/>
  <c r="AT163"/>
  <c r="BL163" s="1"/>
  <c r="AS163"/>
  <c r="AR163"/>
  <c r="BA163" s="1"/>
  <c r="AQ163"/>
  <c r="AP163"/>
  <c r="AY163" s="1"/>
  <c r="BQ163" s="1"/>
  <c r="AO163"/>
  <c r="AN163"/>
  <c r="AW163" s="1"/>
  <c r="BO163" s="1"/>
  <c r="AM163"/>
  <c r="AL163"/>
  <c r="AU163" s="1"/>
  <c r="BM163" s="1"/>
  <c r="AK163"/>
  <c r="AH163"/>
  <c r="AG163"/>
  <c r="AF163"/>
  <c r="BB163" s="1"/>
  <c r="BS163" s="1"/>
  <c r="K163"/>
  <c r="J163"/>
  <c r="L163" s="1"/>
  <c r="BK162"/>
  <c r="BJ162"/>
  <c r="BI162"/>
  <c r="BH162"/>
  <c r="BG162"/>
  <c r="BF162"/>
  <c r="BE162"/>
  <c r="BD162"/>
  <c r="BC162"/>
  <c r="AX162"/>
  <c r="BP162" s="1"/>
  <c r="AV162"/>
  <c r="BN162" s="1"/>
  <c r="AT162"/>
  <c r="BL162" s="1"/>
  <c r="AS162"/>
  <c r="AR162"/>
  <c r="BA162" s="1"/>
  <c r="AQ162"/>
  <c r="AP162"/>
  <c r="AY162" s="1"/>
  <c r="BQ162" s="1"/>
  <c r="AO162"/>
  <c r="AN162"/>
  <c r="AW162" s="1"/>
  <c r="BO162" s="1"/>
  <c r="AM162"/>
  <c r="AL162"/>
  <c r="AU162" s="1"/>
  <c r="BM162" s="1"/>
  <c r="AK162"/>
  <c r="AH162"/>
  <c r="AG162"/>
  <c r="AF162"/>
  <c r="BB162" s="1"/>
  <c r="BS162" s="1"/>
  <c r="K162"/>
  <c r="J162"/>
  <c r="L162" s="1"/>
  <c r="O161"/>
  <c r="N161"/>
  <c r="N160"/>
  <c r="BK147"/>
  <c r="BJ147"/>
  <c r="BI147"/>
  <c r="AS147"/>
  <c r="AR147"/>
  <c r="AQ147"/>
  <c r="AG147"/>
  <c r="AF147"/>
  <c r="Y147"/>
  <c r="AH147" s="1"/>
  <c r="S147"/>
  <c r="BH147" s="1"/>
  <c r="R147"/>
  <c r="BG147" s="1"/>
  <c r="Q147"/>
  <c r="BF147" s="1"/>
  <c r="P147"/>
  <c r="BE147" s="1"/>
  <c r="O147"/>
  <c r="BD147" s="1"/>
  <c r="N147"/>
  <c r="BC147" s="1"/>
  <c r="K147"/>
  <c r="J147"/>
  <c r="L147" s="1"/>
  <c r="BK146"/>
  <c r="BJ146"/>
  <c r="BI146"/>
  <c r="AS146"/>
  <c r="AR146"/>
  <c r="BA146" s="1"/>
  <c r="AQ146"/>
  <c r="AH146"/>
  <c r="AG146"/>
  <c r="AF146"/>
  <c r="BB146" s="1"/>
  <c r="BS146" s="1"/>
  <c r="Y146"/>
  <c r="S146"/>
  <c r="BH146" s="1"/>
  <c r="R146"/>
  <c r="BG146" s="1"/>
  <c r="Q146"/>
  <c r="BF146" s="1"/>
  <c r="P146"/>
  <c r="BE146" s="1"/>
  <c r="O146"/>
  <c r="BD146" s="1"/>
  <c r="N146"/>
  <c r="BC146" s="1"/>
  <c r="J146"/>
  <c r="K146" s="1"/>
  <c r="BK145"/>
  <c r="BJ145"/>
  <c r="BI145"/>
  <c r="AS145"/>
  <c r="AR145"/>
  <c r="AQ145"/>
  <c r="AG145"/>
  <c r="AF145"/>
  <c r="Y145"/>
  <c r="AH145" s="1"/>
  <c r="R145"/>
  <c r="BG145" s="1"/>
  <c r="P145"/>
  <c r="BE145" s="1"/>
  <c r="N145"/>
  <c r="BC145" s="1"/>
  <c r="K145"/>
  <c r="J145"/>
  <c r="L145" s="1"/>
  <c r="BK144"/>
  <c r="BJ144"/>
  <c r="BI144"/>
  <c r="BH144"/>
  <c r="BG144"/>
  <c r="BF144"/>
  <c r="BE144"/>
  <c r="BD144"/>
  <c r="BC144"/>
  <c r="AX144"/>
  <c r="BP144" s="1"/>
  <c r="AV144"/>
  <c r="BN144" s="1"/>
  <c r="AT144"/>
  <c r="BL144" s="1"/>
  <c r="AS144"/>
  <c r="AR144"/>
  <c r="BA144" s="1"/>
  <c r="AQ144"/>
  <c r="AP144"/>
  <c r="AY144" s="1"/>
  <c r="BQ144" s="1"/>
  <c r="AO144"/>
  <c r="AN144"/>
  <c r="AW144" s="1"/>
  <c r="BO144" s="1"/>
  <c r="AM144"/>
  <c r="AL144"/>
  <c r="AU144" s="1"/>
  <c r="BM144" s="1"/>
  <c r="AK144"/>
  <c r="AH144"/>
  <c r="AG144"/>
  <c r="AF144"/>
  <c r="BB144" s="1"/>
  <c r="BS144" s="1"/>
  <c r="K144"/>
  <c r="J144"/>
  <c r="L144" s="1"/>
  <c r="BK143"/>
  <c r="BJ143"/>
  <c r="BI143"/>
  <c r="BC143"/>
  <c r="AT143"/>
  <c r="BL143" s="1"/>
  <c r="AS143"/>
  <c r="AR143"/>
  <c r="BA143" s="1"/>
  <c r="AQ143"/>
  <c r="AK143"/>
  <c r="AH143"/>
  <c r="AG143"/>
  <c r="AF143"/>
  <c r="BB143" s="1"/>
  <c r="BS143" s="1"/>
  <c r="Y143"/>
  <c r="S143"/>
  <c r="S145" s="1"/>
  <c r="R143"/>
  <c r="BG143" s="1"/>
  <c r="Q143"/>
  <c r="Q145" s="1"/>
  <c r="P143"/>
  <c r="BE143" s="1"/>
  <c r="O143"/>
  <c r="O145" s="1"/>
  <c r="K143"/>
  <c r="J143"/>
  <c r="L143" s="1"/>
  <c r="BK142"/>
  <c r="BJ142"/>
  <c r="BI142"/>
  <c r="BH142"/>
  <c r="BG142"/>
  <c r="BF142"/>
  <c r="BE142"/>
  <c r="BD142"/>
  <c r="BC142"/>
  <c r="AX142"/>
  <c r="BP142" s="1"/>
  <c r="AV142"/>
  <c r="BN142" s="1"/>
  <c r="AT142"/>
  <c r="BL142" s="1"/>
  <c r="AS142"/>
  <c r="AR142"/>
  <c r="BA142" s="1"/>
  <c r="AQ142"/>
  <c r="AP142"/>
  <c r="AY142" s="1"/>
  <c r="BQ142" s="1"/>
  <c r="AO142"/>
  <c r="AN142"/>
  <c r="AW142" s="1"/>
  <c r="BO142" s="1"/>
  <c r="AM142"/>
  <c r="AL142"/>
  <c r="AU142" s="1"/>
  <c r="BM142" s="1"/>
  <c r="AK142"/>
  <c r="AH142"/>
  <c r="AG142"/>
  <c r="AF142"/>
  <c r="BB142" s="1"/>
  <c r="BS142" s="1"/>
  <c r="K142"/>
  <c r="J142"/>
  <c r="L142" s="1"/>
  <c r="BK141"/>
  <c r="BJ141"/>
  <c r="BI141"/>
  <c r="BH141"/>
  <c r="BG141"/>
  <c r="BF141"/>
  <c r="BE141"/>
  <c r="BD141"/>
  <c r="BC141"/>
  <c r="AS141"/>
  <c r="AR141"/>
  <c r="AQ141"/>
  <c r="J141"/>
  <c r="L141" s="1"/>
  <c r="F141"/>
  <c r="AO141" s="1"/>
  <c r="AX141" s="1"/>
  <c r="BP141" s="1"/>
  <c r="BK140"/>
  <c r="BJ140"/>
  <c r="BI140"/>
  <c r="BH140"/>
  <c r="BG140"/>
  <c r="BF140"/>
  <c r="BE140"/>
  <c r="BD140"/>
  <c r="BC140"/>
  <c r="AY140"/>
  <c r="BQ140" s="1"/>
  <c r="AW140"/>
  <c r="BO140" s="1"/>
  <c r="AU140"/>
  <c r="BM140" s="1"/>
  <c r="AS140"/>
  <c r="BB140" s="1"/>
  <c r="BS140" s="1"/>
  <c r="AR140"/>
  <c r="AQ140"/>
  <c r="AZ140" s="1"/>
  <c r="BR140" s="1"/>
  <c r="AP140"/>
  <c r="AO140"/>
  <c r="AX140" s="1"/>
  <c r="BP140" s="1"/>
  <c r="AN140"/>
  <c r="AM140"/>
  <c r="AV140" s="1"/>
  <c r="BN140" s="1"/>
  <c r="AL140"/>
  <c r="AK140"/>
  <c r="AT140" s="1"/>
  <c r="BL140" s="1"/>
  <c r="AH140"/>
  <c r="AG140"/>
  <c r="BA140" s="1"/>
  <c r="AF140"/>
  <c r="J140"/>
  <c r="K140" s="1"/>
  <c r="BT140" s="1"/>
  <c r="BK139"/>
  <c r="BJ139"/>
  <c r="BI139"/>
  <c r="BH139"/>
  <c r="BG139"/>
  <c r="BF139"/>
  <c r="BE139"/>
  <c r="BD139"/>
  <c r="BC139"/>
  <c r="AY139"/>
  <c r="BQ139" s="1"/>
  <c r="AW139"/>
  <c r="BO139" s="1"/>
  <c r="AU139"/>
  <c r="BM139" s="1"/>
  <c r="AS139"/>
  <c r="AR139"/>
  <c r="AQ139"/>
  <c r="AP139"/>
  <c r="AO139"/>
  <c r="AX139" s="1"/>
  <c r="BP139" s="1"/>
  <c r="AN139"/>
  <c r="AM139"/>
  <c r="AV139" s="1"/>
  <c r="BN139" s="1"/>
  <c r="AL139"/>
  <c r="AK139"/>
  <c r="AT139" s="1"/>
  <c r="BL139" s="1"/>
  <c r="AG139"/>
  <c r="AF139"/>
  <c r="Y139"/>
  <c r="AH139" s="1"/>
  <c r="K139"/>
  <c r="J139"/>
  <c r="L139" s="1"/>
  <c r="O138"/>
  <c r="N138"/>
  <c r="BK136"/>
  <c r="BJ136"/>
  <c r="BI136"/>
  <c r="BH136"/>
  <c r="BG136"/>
  <c r="BF136"/>
  <c r="BE136"/>
  <c r="BD136"/>
  <c r="BC136"/>
  <c r="AS136"/>
  <c r="AR136"/>
  <c r="AQ136"/>
  <c r="J136"/>
  <c r="L136" s="1"/>
  <c r="F136"/>
  <c r="AO136" s="1"/>
  <c r="AX136" s="1"/>
  <c r="BP136" s="1"/>
  <c r="BK135"/>
  <c r="BJ135"/>
  <c r="BI135"/>
  <c r="BH135"/>
  <c r="BG135"/>
  <c r="BF135"/>
  <c r="BE135"/>
  <c r="BD135"/>
  <c r="BC135"/>
  <c r="AS135"/>
  <c r="AR135"/>
  <c r="AQ135"/>
  <c r="AO135"/>
  <c r="AX135" s="1"/>
  <c r="BP135" s="1"/>
  <c r="AM135"/>
  <c r="AV135" s="1"/>
  <c r="BN135" s="1"/>
  <c r="AK135"/>
  <c r="AT135" s="1"/>
  <c r="BL135" s="1"/>
  <c r="AG135"/>
  <c r="J135"/>
  <c r="L135" s="1"/>
  <c r="F135"/>
  <c r="AP135" s="1"/>
  <c r="AY135" s="1"/>
  <c r="BQ135" s="1"/>
  <c r="BK134"/>
  <c r="BJ134"/>
  <c r="BI134"/>
  <c r="BH134"/>
  <c r="BG134"/>
  <c r="BF134"/>
  <c r="BE134"/>
  <c r="BD134"/>
  <c r="BC134"/>
  <c r="AY134"/>
  <c r="BQ134" s="1"/>
  <c r="AW134"/>
  <c r="BO134" s="1"/>
  <c r="AU134"/>
  <c r="BM134" s="1"/>
  <c r="AS134"/>
  <c r="BB134" s="1"/>
  <c r="AR134"/>
  <c r="AQ134"/>
  <c r="AZ134" s="1"/>
  <c r="BR134" s="1"/>
  <c r="AP134"/>
  <c r="AO134"/>
  <c r="AX134" s="1"/>
  <c r="BP134" s="1"/>
  <c r="AN134"/>
  <c r="AM134"/>
  <c r="AV134" s="1"/>
  <c r="BN134" s="1"/>
  <c r="AL134"/>
  <c r="AK134"/>
  <c r="AT134" s="1"/>
  <c r="BL134" s="1"/>
  <c r="AH134"/>
  <c r="AG134"/>
  <c r="BA134" s="1"/>
  <c r="AF134"/>
  <c r="J134"/>
  <c r="K134" s="1"/>
  <c r="BK133"/>
  <c r="BJ133"/>
  <c r="BI133"/>
  <c r="BH133"/>
  <c r="BG133"/>
  <c r="BF133"/>
  <c r="BE133"/>
  <c r="BD133"/>
  <c r="BC133"/>
  <c r="AY133"/>
  <c r="BQ133" s="1"/>
  <c r="AW133"/>
  <c r="BO133" s="1"/>
  <c r="AU133"/>
  <c r="BM133" s="1"/>
  <c r="AS133"/>
  <c r="BB133" s="1"/>
  <c r="BS133" s="1"/>
  <c r="AR133"/>
  <c r="AQ133"/>
  <c r="AZ133" s="1"/>
  <c r="BR133" s="1"/>
  <c r="AP133"/>
  <c r="AO133"/>
  <c r="AX133" s="1"/>
  <c r="BP133" s="1"/>
  <c r="AN133"/>
  <c r="AM133"/>
  <c r="AV133" s="1"/>
  <c r="BN133" s="1"/>
  <c r="AL133"/>
  <c r="AK133"/>
  <c r="AT133" s="1"/>
  <c r="BL133" s="1"/>
  <c r="AH133"/>
  <c r="AG133"/>
  <c r="BA133" s="1"/>
  <c r="AF133"/>
  <c r="J133"/>
  <c r="L133" s="1"/>
  <c r="G133"/>
  <c r="K133" s="1"/>
  <c r="BK132"/>
  <c r="BJ132"/>
  <c r="BI132"/>
  <c r="BH132"/>
  <c r="BG132"/>
  <c r="BF132"/>
  <c r="BE132"/>
  <c r="BD132"/>
  <c r="BC132"/>
  <c r="AX132"/>
  <c r="BP132" s="1"/>
  <c r="AV132"/>
  <c r="BN132" s="1"/>
  <c r="AT132"/>
  <c r="BL132" s="1"/>
  <c r="AS132"/>
  <c r="AR132"/>
  <c r="BA132" s="1"/>
  <c r="AQ132"/>
  <c r="AP132"/>
  <c r="AY132" s="1"/>
  <c r="BQ132" s="1"/>
  <c r="AO132"/>
  <c r="AN132"/>
  <c r="AW132" s="1"/>
  <c r="BO132" s="1"/>
  <c r="AM132"/>
  <c r="AL132"/>
  <c r="AU132" s="1"/>
  <c r="BM132" s="1"/>
  <c r="AK132"/>
  <c r="AH132"/>
  <c r="AG132"/>
  <c r="AF132"/>
  <c r="BB132" s="1"/>
  <c r="BS132" s="1"/>
  <c r="K132"/>
  <c r="J132"/>
  <c r="L132" s="1"/>
  <c r="BK131"/>
  <c r="BJ131"/>
  <c r="BI131"/>
  <c r="BH131"/>
  <c r="BG131"/>
  <c r="BF131"/>
  <c r="BE131"/>
  <c r="BD131"/>
  <c r="BC131"/>
  <c r="AX131"/>
  <c r="BP131" s="1"/>
  <c r="AV131"/>
  <c r="BN131" s="1"/>
  <c r="AT131"/>
  <c r="BL131" s="1"/>
  <c r="AP131"/>
  <c r="AY131" s="1"/>
  <c r="BQ131" s="1"/>
  <c r="AO131"/>
  <c r="AN131"/>
  <c r="AW131" s="1"/>
  <c r="BO131" s="1"/>
  <c r="AM131"/>
  <c r="AL131"/>
  <c r="AU131" s="1"/>
  <c r="BM131" s="1"/>
  <c r="AK131"/>
  <c r="AH131"/>
  <c r="AG131"/>
  <c r="AF131"/>
  <c r="H131"/>
  <c r="J131" s="1"/>
  <c r="G131"/>
  <c r="AS131" s="1"/>
  <c r="BB131" s="1"/>
  <c r="BS131" s="1"/>
  <c r="BK130"/>
  <c r="BJ130"/>
  <c r="BI130"/>
  <c r="BH130"/>
  <c r="BG130"/>
  <c r="BF130"/>
  <c r="BE130"/>
  <c r="BD130"/>
  <c r="BC130"/>
  <c r="AX130"/>
  <c r="BP130" s="1"/>
  <c r="AV130"/>
  <c r="BN130" s="1"/>
  <c r="AT130"/>
  <c r="BL130" s="1"/>
  <c r="AS130"/>
  <c r="AR130"/>
  <c r="BA130" s="1"/>
  <c r="AQ130"/>
  <c r="AP130"/>
  <c r="AY130" s="1"/>
  <c r="BQ130" s="1"/>
  <c r="AO130"/>
  <c r="AN130"/>
  <c r="AW130" s="1"/>
  <c r="BO130" s="1"/>
  <c r="AM130"/>
  <c r="AL130"/>
  <c r="AU130" s="1"/>
  <c r="BM130" s="1"/>
  <c r="AK130"/>
  <c r="AH130"/>
  <c r="AG130"/>
  <c r="AF130"/>
  <c r="BB130" s="1"/>
  <c r="BS130" s="1"/>
  <c r="K130"/>
  <c r="J130"/>
  <c r="L130" s="1"/>
  <c r="BK129"/>
  <c r="BJ129"/>
  <c r="BI129"/>
  <c r="BH129"/>
  <c r="BG129"/>
  <c r="BF129"/>
  <c r="BE129"/>
  <c r="BD129"/>
  <c r="BC129"/>
  <c r="AX129"/>
  <c r="BP129" s="1"/>
  <c r="AV129"/>
  <c r="BN129" s="1"/>
  <c r="AT129"/>
  <c r="BL129" s="1"/>
  <c r="AS129"/>
  <c r="AR129"/>
  <c r="BA129" s="1"/>
  <c r="AQ129"/>
  <c r="AP129"/>
  <c r="AY129" s="1"/>
  <c r="BQ129" s="1"/>
  <c r="AO129"/>
  <c r="AN129"/>
  <c r="AW129" s="1"/>
  <c r="BO129" s="1"/>
  <c r="AM129"/>
  <c r="AL129"/>
  <c r="AU129" s="1"/>
  <c r="BM129" s="1"/>
  <c r="AK129"/>
  <c r="AH129"/>
  <c r="AG129"/>
  <c r="AF129"/>
  <c r="BB129" s="1"/>
  <c r="BS129" s="1"/>
  <c r="K129"/>
  <c r="J129"/>
  <c r="L129" s="1"/>
  <c r="BK128"/>
  <c r="BJ128"/>
  <c r="BI128"/>
  <c r="BH128"/>
  <c r="BG128"/>
  <c r="BF128"/>
  <c r="BE128"/>
  <c r="BD128"/>
  <c r="BC128"/>
  <c r="AX128"/>
  <c r="BP128" s="1"/>
  <c r="AV128"/>
  <c r="BN128" s="1"/>
  <c r="AT128"/>
  <c r="BL128" s="1"/>
  <c r="AS128"/>
  <c r="AR128"/>
  <c r="BA128" s="1"/>
  <c r="AQ128"/>
  <c r="AP128"/>
  <c r="AY128" s="1"/>
  <c r="BQ128" s="1"/>
  <c r="AO128"/>
  <c r="AN128"/>
  <c r="AW128" s="1"/>
  <c r="BO128" s="1"/>
  <c r="AM128"/>
  <c r="AL128"/>
  <c r="AU128" s="1"/>
  <c r="BM128" s="1"/>
  <c r="AK128"/>
  <c r="AH128"/>
  <c r="AG128"/>
  <c r="AF128"/>
  <c r="BB128" s="1"/>
  <c r="BS128" s="1"/>
  <c r="K128"/>
  <c r="J128"/>
  <c r="L128" s="1"/>
  <c r="BK127"/>
  <c r="BJ127"/>
  <c r="BI127"/>
  <c r="BH127"/>
  <c r="BG127"/>
  <c r="BF127"/>
  <c r="BE127"/>
  <c r="BD127"/>
  <c r="BC127"/>
  <c r="AX127"/>
  <c r="BP127" s="1"/>
  <c r="AV127"/>
  <c r="BN127" s="1"/>
  <c r="AT127"/>
  <c r="BL127" s="1"/>
  <c r="AS127"/>
  <c r="AR127"/>
  <c r="BA127" s="1"/>
  <c r="AQ127"/>
  <c r="AP127"/>
  <c r="AY127" s="1"/>
  <c r="BQ127" s="1"/>
  <c r="AO127"/>
  <c r="AN127"/>
  <c r="AW127" s="1"/>
  <c r="BO127" s="1"/>
  <c r="AM127"/>
  <c r="AL127"/>
  <c r="AU127" s="1"/>
  <c r="BM127" s="1"/>
  <c r="AK127"/>
  <c r="AH127"/>
  <c r="AG127"/>
  <c r="AF127"/>
  <c r="BB127" s="1"/>
  <c r="BS127" s="1"/>
  <c r="K127"/>
  <c r="J127"/>
  <c r="L127" s="1"/>
  <c r="BK126"/>
  <c r="BJ126"/>
  <c r="BI126"/>
  <c r="BH126"/>
  <c r="BG126"/>
  <c r="BF126"/>
  <c r="BE126"/>
  <c r="BD126"/>
  <c r="BC126"/>
  <c r="AX126"/>
  <c r="BP126" s="1"/>
  <c r="AV126"/>
  <c r="BN126" s="1"/>
  <c r="AT126"/>
  <c r="BL126" s="1"/>
  <c r="AS126"/>
  <c r="AR126"/>
  <c r="BA126" s="1"/>
  <c r="AQ126"/>
  <c r="AP126"/>
  <c r="AY126" s="1"/>
  <c r="BQ126" s="1"/>
  <c r="AO126"/>
  <c r="AN126"/>
  <c r="AW126" s="1"/>
  <c r="BO126" s="1"/>
  <c r="AM126"/>
  <c r="AL126"/>
  <c r="AU126" s="1"/>
  <c r="BM126" s="1"/>
  <c r="AK126"/>
  <c r="AH126"/>
  <c r="AG126"/>
  <c r="AF126"/>
  <c r="BB126" s="1"/>
  <c r="BS126" s="1"/>
  <c r="K126"/>
  <c r="J126"/>
  <c r="L126" s="1"/>
  <c r="BK125"/>
  <c r="BJ125"/>
  <c r="BI125"/>
  <c r="BH125"/>
  <c r="BG125"/>
  <c r="BF125"/>
  <c r="BE125"/>
  <c r="BD125"/>
  <c r="BC125"/>
  <c r="AX125"/>
  <c r="BP125" s="1"/>
  <c r="AV125"/>
  <c r="BN125" s="1"/>
  <c r="AT125"/>
  <c r="BL125" s="1"/>
  <c r="AS125"/>
  <c r="AR125"/>
  <c r="BA125" s="1"/>
  <c r="AQ125"/>
  <c r="AP125"/>
  <c r="AY125" s="1"/>
  <c r="BQ125" s="1"/>
  <c r="AO125"/>
  <c r="AN125"/>
  <c r="AW125" s="1"/>
  <c r="BO125" s="1"/>
  <c r="AM125"/>
  <c r="AL125"/>
  <c r="AU125" s="1"/>
  <c r="BM125" s="1"/>
  <c r="AK125"/>
  <c r="AH125"/>
  <c r="AG125"/>
  <c r="AF125"/>
  <c r="BB125" s="1"/>
  <c r="BS125" s="1"/>
  <c r="K125"/>
  <c r="J125"/>
  <c r="L125" s="1"/>
  <c r="O124"/>
  <c r="N124"/>
  <c r="N123"/>
  <c r="BK115"/>
  <c r="BJ115"/>
  <c r="BI115"/>
  <c r="AS115"/>
  <c r="AR115"/>
  <c r="AQ115"/>
  <c r="AG115"/>
  <c r="AF115"/>
  <c r="Y115"/>
  <c r="AH115" s="1"/>
  <c r="S115"/>
  <c r="BH115" s="1"/>
  <c r="R115"/>
  <c r="BG115" s="1"/>
  <c r="Q115"/>
  <c r="BF115" s="1"/>
  <c r="P115"/>
  <c r="BE115" s="1"/>
  <c r="O115"/>
  <c r="BD115" s="1"/>
  <c r="N115"/>
  <c r="BC115" s="1"/>
  <c r="K115"/>
  <c r="J115"/>
  <c r="L115" s="1"/>
  <c r="BK114"/>
  <c r="BJ114"/>
  <c r="BI114"/>
  <c r="AS114"/>
  <c r="AR114"/>
  <c r="BA114" s="1"/>
  <c r="AQ114"/>
  <c r="AH114"/>
  <c r="AG114"/>
  <c r="AF114"/>
  <c r="BB114" s="1"/>
  <c r="BS114" s="1"/>
  <c r="Y114"/>
  <c r="S114"/>
  <c r="BH114" s="1"/>
  <c r="R114"/>
  <c r="BG114" s="1"/>
  <c r="Q114"/>
  <c r="BF114" s="1"/>
  <c r="P114"/>
  <c r="BE114" s="1"/>
  <c r="O114"/>
  <c r="BD114" s="1"/>
  <c r="N114"/>
  <c r="BC114" s="1"/>
  <c r="J114"/>
  <c r="K114" s="1"/>
  <c r="BK113"/>
  <c r="BJ113"/>
  <c r="BI113"/>
  <c r="AS113"/>
  <c r="AR113"/>
  <c r="AQ113"/>
  <c r="AG113"/>
  <c r="BA113" s="1"/>
  <c r="AF113"/>
  <c r="K113"/>
  <c r="J113"/>
  <c r="L113" s="1"/>
  <c r="BK112"/>
  <c r="BJ112"/>
  <c r="BI112"/>
  <c r="BH112"/>
  <c r="BG112"/>
  <c r="BF112"/>
  <c r="BE112"/>
  <c r="BD112"/>
  <c r="BC112"/>
  <c r="AX112"/>
  <c r="BP112" s="1"/>
  <c r="AV112"/>
  <c r="BN112" s="1"/>
  <c r="AT112"/>
  <c r="BL112" s="1"/>
  <c r="AS112"/>
  <c r="AR112"/>
  <c r="BA112" s="1"/>
  <c r="AQ112"/>
  <c r="AP112"/>
  <c r="AY112" s="1"/>
  <c r="BQ112" s="1"/>
  <c r="AO112"/>
  <c r="AN112"/>
  <c r="AW112" s="1"/>
  <c r="BO112" s="1"/>
  <c r="AM112"/>
  <c r="AL112"/>
  <c r="AU112" s="1"/>
  <c r="BM112" s="1"/>
  <c r="AK112"/>
  <c r="AH112"/>
  <c r="AG112"/>
  <c r="AF112"/>
  <c r="BB112" s="1"/>
  <c r="BS112" s="1"/>
  <c r="K112"/>
  <c r="J112"/>
  <c r="L112" s="1"/>
  <c r="BK111"/>
  <c r="BJ111"/>
  <c r="BI111"/>
  <c r="BH111"/>
  <c r="BG111"/>
  <c r="BF111"/>
  <c r="BE111"/>
  <c r="BD111"/>
  <c r="BC111"/>
  <c r="AX111"/>
  <c r="BP111" s="1"/>
  <c r="AV111"/>
  <c r="BN111" s="1"/>
  <c r="AT111"/>
  <c r="BL111" s="1"/>
  <c r="AS111"/>
  <c r="AR111"/>
  <c r="BA111" s="1"/>
  <c r="AQ111"/>
  <c r="AP111"/>
  <c r="AY111" s="1"/>
  <c r="BQ111" s="1"/>
  <c r="AO111"/>
  <c r="AN111"/>
  <c r="AW111" s="1"/>
  <c r="BO111" s="1"/>
  <c r="AM111"/>
  <c r="AL111"/>
  <c r="AU111" s="1"/>
  <c r="BM111" s="1"/>
  <c r="AK111"/>
  <c r="AH111"/>
  <c r="AG111"/>
  <c r="AF111"/>
  <c r="BB111" s="1"/>
  <c r="BS111" s="1"/>
  <c r="K111"/>
  <c r="J111"/>
  <c r="L111" s="1"/>
  <c r="BK110"/>
  <c r="BJ110"/>
  <c r="BI110"/>
  <c r="BH110"/>
  <c r="BG110"/>
  <c r="BF110"/>
  <c r="BE110"/>
  <c r="BD110"/>
  <c r="BC110"/>
  <c r="AX110"/>
  <c r="BP110" s="1"/>
  <c r="AV110"/>
  <c r="BN110" s="1"/>
  <c r="AT110"/>
  <c r="BL110" s="1"/>
  <c r="AS110"/>
  <c r="AR110"/>
  <c r="BA110" s="1"/>
  <c r="AQ110"/>
  <c r="AP110"/>
  <c r="AY110" s="1"/>
  <c r="BQ110" s="1"/>
  <c r="AO110"/>
  <c r="AN110"/>
  <c r="AW110" s="1"/>
  <c r="BO110" s="1"/>
  <c r="AM110"/>
  <c r="AL110"/>
  <c r="AU110" s="1"/>
  <c r="BM110" s="1"/>
  <c r="AK110"/>
  <c r="AH110"/>
  <c r="AG110"/>
  <c r="AF110"/>
  <c r="BB110" s="1"/>
  <c r="BS110" s="1"/>
  <c r="K110"/>
  <c r="J110"/>
  <c r="L110" s="1"/>
  <c r="BK109"/>
  <c r="BJ109"/>
  <c r="BI109"/>
  <c r="AS109"/>
  <c r="AR109"/>
  <c r="BA109" s="1"/>
  <c r="AQ109"/>
  <c r="AH109"/>
  <c r="AG109"/>
  <c r="AF109"/>
  <c r="BB109" s="1"/>
  <c r="BS109" s="1"/>
  <c r="Y109"/>
  <c r="Y113" s="1"/>
  <c r="AH113" s="1"/>
  <c r="S109"/>
  <c r="S113" s="1"/>
  <c r="R109"/>
  <c r="BG109" s="1"/>
  <c r="Q109"/>
  <c r="Q113" s="1"/>
  <c r="P109"/>
  <c r="BE109" s="1"/>
  <c r="O109"/>
  <c r="O113" s="1"/>
  <c r="J109"/>
  <c r="K109" s="1"/>
  <c r="BK108"/>
  <c r="BJ108"/>
  <c r="BI108"/>
  <c r="AS108"/>
  <c r="AR108"/>
  <c r="AQ108"/>
  <c r="AG108"/>
  <c r="AF108"/>
  <c r="Y108"/>
  <c r="AH108" s="1"/>
  <c r="S108"/>
  <c r="BH108" s="1"/>
  <c r="R108"/>
  <c r="BG108" s="1"/>
  <c r="Q108"/>
  <c r="BF108" s="1"/>
  <c r="P108"/>
  <c r="BE108" s="1"/>
  <c r="O108"/>
  <c r="BD108" s="1"/>
  <c r="N108"/>
  <c r="N109" s="1"/>
  <c r="K108"/>
  <c r="J108"/>
  <c r="L108" s="1"/>
  <c r="BK107"/>
  <c r="BJ107"/>
  <c r="BI107"/>
  <c r="AS107"/>
  <c r="AR107"/>
  <c r="AQ107"/>
  <c r="AG107"/>
  <c r="AF107"/>
  <c r="BB107" s="1"/>
  <c r="BS107" s="1"/>
  <c r="S107"/>
  <c r="BH107" s="1"/>
  <c r="R107"/>
  <c r="BG107" s="1"/>
  <c r="Q107"/>
  <c r="BF107" s="1"/>
  <c r="P107"/>
  <c r="BE107" s="1"/>
  <c r="O107"/>
  <c r="BD107" s="1"/>
  <c r="N107"/>
  <c r="BC107" s="1"/>
  <c r="J107"/>
  <c r="K107" s="1"/>
  <c r="BK106"/>
  <c r="BJ106"/>
  <c r="BI106"/>
  <c r="BH106"/>
  <c r="BG106"/>
  <c r="BF106"/>
  <c r="BE106"/>
  <c r="BD106"/>
  <c r="BC106"/>
  <c r="AY106"/>
  <c r="BQ106" s="1"/>
  <c r="AW106"/>
  <c r="BO106" s="1"/>
  <c r="AU106"/>
  <c r="BM106" s="1"/>
  <c r="AS106"/>
  <c r="BB106" s="1"/>
  <c r="BS106" s="1"/>
  <c r="AR106"/>
  <c r="AQ106"/>
  <c r="AZ106" s="1"/>
  <c r="BR106" s="1"/>
  <c r="AP106"/>
  <c r="AO106"/>
  <c r="AX106" s="1"/>
  <c r="BP106" s="1"/>
  <c r="AN106"/>
  <c r="AM106"/>
  <c r="AV106" s="1"/>
  <c r="BN106" s="1"/>
  <c r="AL106"/>
  <c r="AK106"/>
  <c r="AT106" s="1"/>
  <c r="BL106" s="1"/>
  <c r="AH106"/>
  <c r="AG106"/>
  <c r="BA106" s="1"/>
  <c r="AF106"/>
  <c r="J106"/>
  <c r="K106" s="1"/>
  <c r="BT106" s="1"/>
  <c r="BK105"/>
  <c r="BJ105"/>
  <c r="BI105"/>
  <c r="BH105"/>
  <c r="BG105"/>
  <c r="BF105"/>
  <c r="BE105"/>
  <c r="BD105"/>
  <c r="BC105"/>
  <c r="AS105"/>
  <c r="AR105"/>
  <c r="AQ105"/>
  <c r="AO105"/>
  <c r="AX105" s="1"/>
  <c r="BP105" s="1"/>
  <c r="AM105"/>
  <c r="AV105" s="1"/>
  <c r="BN105" s="1"/>
  <c r="AK105"/>
  <c r="AT105" s="1"/>
  <c r="BL105" s="1"/>
  <c r="AG105"/>
  <c r="J105"/>
  <c r="L105" s="1"/>
  <c r="F105"/>
  <c r="AP105" s="1"/>
  <c r="AY105" s="1"/>
  <c r="BQ105" s="1"/>
  <c r="BK104"/>
  <c r="BJ104"/>
  <c r="BI104"/>
  <c r="BH104"/>
  <c r="BG104"/>
  <c r="BF104"/>
  <c r="BE104"/>
  <c r="BD104"/>
  <c r="BC104"/>
  <c r="AX104"/>
  <c r="BP104" s="1"/>
  <c r="AV104"/>
  <c r="BN104" s="1"/>
  <c r="AT104"/>
  <c r="BL104" s="1"/>
  <c r="AS104"/>
  <c r="AR104"/>
  <c r="BA104" s="1"/>
  <c r="AQ104"/>
  <c r="AP104"/>
  <c r="AY104" s="1"/>
  <c r="BQ104" s="1"/>
  <c r="AO104"/>
  <c r="AN104"/>
  <c r="AW104" s="1"/>
  <c r="BO104" s="1"/>
  <c r="AM104"/>
  <c r="AL104"/>
  <c r="AU104" s="1"/>
  <c r="BM104" s="1"/>
  <c r="AK104"/>
  <c r="AH104"/>
  <c r="AG104"/>
  <c r="AF104"/>
  <c r="BB104" s="1"/>
  <c r="BS104" s="1"/>
  <c r="K104"/>
  <c r="J104"/>
  <c r="L104" s="1"/>
  <c r="BK103"/>
  <c r="BJ103"/>
  <c r="BI103"/>
  <c r="BH103"/>
  <c r="BG103"/>
  <c r="BF103"/>
  <c r="BE103"/>
  <c r="BD103"/>
  <c r="BC103"/>
  <c r="AX103"/>
  <c r="BP103" s="1"/>
  <c r="AV103"/>
  <c r="BN103" s="1"/>
  <c r="AT103"/>
  <c r="BL103" s="1"/>
  <c r="AS103"/>
  <c r="AR103"/>
  <c r="BA103" s="1"/>
  <c r="AQ103"/>
  <c r="AP103"/>
  <c r="AY103" s="1"/>
  <c r="BQ103" s="1"/>
  <c r="AO103"/>
  <c r="AN103"/>
  <c r="AW103" s="1"/>
  <c r="BO103" s="1"/>
  <c r="AM103"/>
  <c r="AL103"/>
  <c r="AU103" s="1"/>
  <c r="BM103" s="1"/>
  <c r="AK103"/>
  <c r="AH103"/>
  <c r="AG103"/>
  <c r="AF103"/>
  <c r="BB103" s="1"/>
  <c r="BS103" s="1"/>
  <c r="Y103"/>
  <c r="Y107" s="1"/>
  <c r="AH107" s="1"/>
  <c r="J103"/>
  <c r="K103" s="1"/>
  <c r="O102"/>
  <c r="N102"/>
  <c r="BK100"/>
  <c r="BJ100"/>
  <c r="BI100"/>
  <c r="BH100"/>
  <c r="BG100"/>
  <c r="BF100"/>
  <c r="BE100"/>
  <c r="BD100"/>
  <c r="BC100"/>
  <c r="AS100"/>
  <c r="AR100"/>
  <c r="AQ100"/>
  <c r="AO100"/>
  <c r="AX100" s="1"/>
  <c r="BP100" s="1"/>
  <c r="AM100"/>
  <c r="AV100" s="1"/>
  <c r="BN100" s="1"/>
  <c r="AK100"/>
  <c r="AT100" s="1"/>
  <c r="BL100" s="1"/>
  <c r="AG100"/>
  <c r="J100"/>
  <c r="L100" s="1"/>
  <c r="F100"/>
  <c r="AP100" s="1"/>
  <c r="AY100" s="1"/>
  <c r="BQ100" s="1"/>
  <c r="BK99"/>
  <c r="BJ99"/>
  <c r="BI99"/>
  <c r="BH99"/>
  <c r="BG99"/>
  <c r="BF99"/>
  <c r="BE99"/>
  <c r="BD99"/>
  <c r="BC99"/>
  <c r="AS99"/>
  <c r="AR99"/>
  <c r="AQ99"/>
  <c r="J99"/>
  <c r="L99" s="1"/>
  <c r="F99"/>
  <c r="AO99" s="1"/>
  <c r="AX99" s="1"/>
  <c r="BP99" s="1"/>
  <c r="BK98"/>
  <c r="BJ98"/>
  <c r="BI98"/>
  <c r="BH98"/>
  <c r="BG98"/>
  <c r="BF98"/>
  <c r="BE98"/>
  <c r="BD98"/>
  <c r="BC98"/>
  <c r="AX98"/>
  <c r="BP98" s="1"/>
  <c r="AV98"/>
  <c r="BN98" s="1"/>
  <c r="AT98"/>
  <c r="BL98" s="1"/>
  <c r="AS98"/>
  <c r="AR98"/>
  <c r="BA98" s="1"/>
  <c r="AQ98"/>
  <c r="AP98"/>
  <c r="AY98" s="1"/>
  <c r="BQ98" s="1"/>
  <c r="AO98"/>
  <c r="AN98"/>
  <c r="AW98" s="1"/>
  <c r="BO98" s="1"/>
  <c r="AM98"/>
  <c r="AL98"/>
  <c r="AU98" s="1"/>
  <c r="BM98" s="1"/>
  <c r="AK98"/>
  <c r="AH98"/>
  <c r="AG98"/>
  <c r="AF98"/>
  <c r="BB98" s="1"/>
  <c r="K98"/>
  <c r="J98"/>
  <c r="L98" s="1"/>
  <c r="BK97"/>
  <c r="BJ97"/>
  <c r="BI97"/>
  <c r="BH97"/>
  <c r="BG97"/>
  <c r="BF97"/>
  <c r="BE97"/>
  <c r="BD97"/>
  <c r="BC97"/>
  <c r="AX97"/>
  <c r="BP97" s="1"/>
  <c r="AV97"/>
  <c r="BN97" s="1"/>
  <c r="AT97"/>
  <c r="BL97" s="1"/>
  <c r="AR97"/>
  <c r="BA97" s="1"/>
  <c r="AP97"/>
  <c r="AY97" s="1"/>
  <c r="BQ97" s="1"/>
  <c r="AO97"/>
  <c r="AN97"/>
  <c r="AW97" s="1"/>
  <c r="BO97" s="1"/>
  <c r="AM97"/>
  <c r="AL97"/>
  <c r="AU97" s="1"/>
  <c r="BM97" s="1"/>
  <c r="AK97"/>
  <c r="AH97"/>
  <c r="AG97"/>
  <c r="AF97"/>
  <c r="J97"/>
  <c r="L97" s="1"/>
  <c r="G97"/>
  <c r="AS97" s="1"/>
  <c r="BB97" s="1"/>
  <c r="BS97" s="1"/>
  <c r="BK96"/>
  <c r="BJ96"/>
  <c r="BI96"/>
  <c r="BH96"/>
  <c r="BG96"/>
  <c r="BF96"/>
  <c r="BE96"/>
  <c r="BD96"/>
  <c r="BC96"/>
  <c r="AY96"/>
  <c r="BQ96" s="1"/>
  <c r="AW96"/>
  <c r="BO96" s="1"/>
  <c r="AU96"/>
  <c r="BM96" s="1"/>
  <c r="AS96"/>
  <c r="BB96" s="1"/>
  <c r="BS96" s="1"/>
  <c r="AR96"/>
  <c r="AQ96"/>
  <c r="AZ96" s="1"/>
  <c r="BR96" s="1"/>
  <c r="AP96"/>
  <c r="AO96"/>
  <c r="AX96" s="1"/>
  <c r="BP96" s="1"/>
  <c r="AN96"/>
  <c r="AM96"/>
  <c r="AV96" s="1"/>
  <c r="BN96" s="1"/>
  <c r="AL96"/>
  <c r="AK96"/>
  <c r="AT96" s="1"/>
  <c r="BL96" s="1"/>
  <c r="AH96"/>
  <c r="AG96"/>
  <c r="BA96" s="1"/>
  <c r="AF96"/>
  <c r="J96"/>
  <c r="K96" s="1"/>
  <c r="BK95"/>
  <c r="BJ95"/>
  <c r="BI95"/>
  <c r="BH95"/>
  <c r="BG95"/>
  <c r="BF95"/>
  <c r="BE95"/>
  <c r="BD95"/>
  <c r="BC95"/>
  <c r="AY95"/>
  <c r="BQ95" s="1"/>
  <c r="AW95"/>
  <c r="BO95" s="1"/>
  <c r="AU95"/>
  <c r="BM95" s="1"/>
  <c r="AP95"/>
  <c r="AO95"/>
  <c r="AX95" s="1"/>
  <c r="BP95" s="1"/>
  <c r="AN95"/>
  <c r="AM95"/>
  <c r="AV95" s="1"/>
  <c r="BN95" s="1"/>
  <c r="AL95"/>
  <c r="AK95"/>
  <c r="AT95" s="1"/>
  <c r="BL95" s="1"/>
  <c r="AH95"/>
  <c r="AG95"/>
  <c r="AF95"/>
  <c r="J95"/>
  <c r="L95" s="1"/>
  <c r="H95"/>
  <c r="AR95" s="1"/>
  <c r="BA95" s="1"/>
  <c r="G95"/>
  <c r="K95" s="1"/>
  <c r="BK94"/>
  <c r="BJ94"/>
  <c r="BI94"/>
  <c r="BH94"/>
  <c r="BG94"/>
  <c r="BF94"/>
  <c r="BE94"/>
  <c r="BD94"/>
  <c r="BC94"/>
  <c r="AY94"/>
  <c r="BQ94" s="1"/>
  <c r="AW94"/>
  <c r="BO94" s="1"/>
  <c r="AU94"/>
  <c r="BM94" s="1"/>
  <c r="AS94"/>
  <c r="BB94" s="1"/>
  <c r="BS94" s="1"/>
  <c r="AR94"/>
  <c r="AQ94"/>
  <c r="AZ94" s="1"/>
  <c r="BR94" s="1"/>
  <c r="AP94"/>
  <c r="AO94"/>
  <c r="AX94" s="1"/>
  <c r="BP94" s="1"/>
  <c r="AN94"/>
  <c r="AM94"/>
  <c r="AV94" s="1"/>
  <c r="BN94" s="1"/>
  <c r="AL94"/>
  <c r="AK94"/>
  <c r="AT94" s="1"/>
  <c r="BL94" s="1"/>
  <c r="AH94"/>
  <c r="AG94"/>
  <c r="BA94" s="1"/>
  <c r="AF94"/>
  <c r="J94"/>
  <c r="K94" s="1"/>
  <c r="BT94" s="1"/>
  <c r="BK93"/>
  <c r="BJ93"/>
  <c r="BI93"/>
  <c r="BH93"/>
  <c r="BG93"/>
  <c r="BF93"/>
  <c r="BE93"/>
  <c r="BD93"/>
  <c r="BC93"/>
  <c r="AY93"/>
  <c r="BQ93" s="1"/>
  <c r="AW93"/>
  <c r="BO93" s="1"/>
  <c r="AU93"/>
  <c r="BM93" s="1"/>
  <c r="AS93"/>
  <c r="BB93" s="1"/>
  <c r="BS93" s="1"/>
  <c r="AR93"/>
  <c r="AQ93"/>
  <c r="AZ93" s="1"/>
  <c r="BR93" s="1"/>
  <c r="AP93"/>
  <c r="AO93"/>
  <c r="AX93" s="1"/>
  <c r="BP93" s="1"/>
  <c r="AN93"/>
  <c r="AM93"/>
  <c r="AV93" s="1"/>
  <c r="BN93" s="1"/>
  <c r="AL93"/>
  <c r="AK93"/>
  <c r="AT93" s="1"/>
  <c r="BL93" s="1"/>
  <c r="AH93"/>
  <c r="AG93"/>
  <c r="BA93" s="1"/>
  <c r="AF93"/>
  <c r="J93"/>
  <c r="K93" s="1"/>
  <c r="BK92"/>
  <c r="BJ92"/>
  <c r="BI92"/>
  <c r="BH92"/>
  <c r="BG92"/>
  <c r="BF92"/>
  <c r="BE92"/>
  <c r="BD92"/>
  <c r="BC92"/>
  <c r="AY92"/>
  <c r="BQ92" s="1"/>
  <c r="AW92"/>
  <c r="BO92" s="1"/>
  <c r="AU92"/>
  <c r="BM92" s="1"/>
  <c r="AS92"/>
  <c r="BB92" s="1"/>
  <c r="BS92" s="1"/>
  <c r="AR92"/>
  <c r="AQ92"/>
  <c r="AZ92" s="1"/>
  <c r="BR92" s="1"/>
  <c r="AP92"/>
  <c r="AO92"/>
  <c r="AX92" s="1"/>
  <c r="BP92" s="1"/>
  <c r="AN92"/>
  <c r="AM92"/>
  <c r="AV92" s="1"/>
  <c r="BN92" s="1"/>
  <c r="AL92"/>
  <c r="AK92"/>
  <c r="AT92" s="1"/>
  <c r="BL92" s="1"/>
  <c r="AH92"/>
  <c r="AG92"/>
  <c r="BA92" s="1"/>
  <c r="AF92"/>
  <c r="J92"/>
  <c r="K92" s="1"/>
  <c r="BT92" s="1"/>
  <c r="BK91"/>
  <c r="BJ91"/>
  <c r="BI91"/>
  <c r="BH91"/>
  <c r="BG91"/>
  <c r="BF91"/>
  <c r="BE91"/>
  <c r="BD91"/>
  <c r="BC91"/>
  <c r="AY91"/>
  <c r="BQ91" s="1"/>
  <c r="AW91"/>
  <c r="BO91" s="1"/>
  <c r="AU91"/>
  <c r="BM91" s="1"/>
  <c r="AS91"/>
  <c r="BB91" s="1"/>
  <c r="BS91" s="1"/>
  <c r="AR91"/>
  <c r="AQ91"/>
  <c r="AZ91" s="1"/>
  <c r="BR91" s="1"/>
  <c r="AP91"/>
  <c r="AO91"/>
  <c r="AX91" s="1"/>
  <c r="BP91" s="1"/>
  <c r="AN91"/>
  <c r="AM91"/>
  <c r="AV91" s="1"/>
  <c r="BN91" s="1"/>
  <c r="AL91"/>
  <c r="AK91"/>
  <c r="AT91" s="1"/>
  <c r="BL91" s="1"/>
  <c r="AH91"/>
  <c r="AG91"/>
  <c r="BA91" s="1"/>
  <c r="AF91"/>
  <c r="J91"/>
  <c r="K91" s="1"/>
  <c r="BK90"/>
  <c r="BJ90"/>
  <c r="BI90"/>
  <c r="BH90"/>
  <c r="BG90"/>
  <c r="BF90"/>
  <c r="BE90"/>
  <c r="BD90"/>
  <c r="BC90"/>
  <c r="AY90"/>
  <c r="BQ90" s="1"/>
  <c r="AW90"/>
  <c r="BO90" s="1"/>
  <c r="AU90"/>
  <c r="BM90" s="1"/>
  <c r="AS90"/>
  <c r="AR90"/>
  <c r="AQ90"/>
  <c r="AP90"/>
  <c r="AO90"/>
  <c r="AX90" s="1"/>
  <c r="BP90" s="1"/>
  <c r="AN90"/>
  <c r="AM90"/>
  <c r="AV90" s="1"/>
  <c r="BN90" s="1"/>
  <c r="AL90"/>
  <c r="AK90"/>
  <c r="AT90" s="1"/>
  <c r="BL90" s="1"/>
  <c r="AH90"/>
  <c r="AG90"/>
  <c r="BA90" s="1"/>
  <c r="AF90"/>
  <c r="L90"/>
  <c r="J90"/>
  <c r="K90" s="1"/>
  <c r="BK89"/>
  <c r="BJ89"/>
  <c r="BI89"/>
  <c r="BH89"/>
  <c r="BG89"/>
  <c r="BF89"/>
  <c r="BE89"/>
  <c r="BD89"/>
  <c r="BC89"/>
  <c r="AS89"/>
  <c r="AR89"/>
  <c r="AQ89"/>
  <c r="AO89"/>
  <c r="AX89" s="1"/>
  <c r="BP89" s="1"/>
  <c r="AM89"/>
  <c r="AV89" s="1"/>
  <c r="AK89"/>
  <c r="AT89" s="1"/>
  <c r="BL89" s="1"/>
  <c r="AG89"/>
  <c r="L89"/>
  <c r="J89"/>
  <c r="F89"/>
  <c r="AP89" s="1"/>
  <c r="AY89" s="1"/>
  <c r="BQ89" s="1"/>
  <c r="O88"/>
  <c r="N88"/>
  <c r="N87"/>
  <c r="BK79"/>
  <c r="BS79" s="1"/>
  <c r="BJ79"/>
  <c r="BI79"/>
  <c r="AQ79"/>
  <c r="AG79"/>
  <c r="AF79"/>
  <c r="Y79"/>
  <c r="AH79" s="1"/>
  <c r="S79"/>
  <c r="BH79" s="1"/>
  <c r="R79"/>
  <c r="AO79" s="1"/>
  <c r="AX79" s="1"/>
  <c r="Q79"/>
  <c r="BF79" s="1"/>
  <c r="P79"/>
  <c r="BE79" s="1"/>
  <c r="O79"/>
  <c r="BD79" s="1"/>
  <c r="N79"/>
  <c r="AK79" s="1"/>
  <c r="AT79" s="1"/>
  <c r="K79"/>
  <c r="J79"/>
  <c r="L79" s="1"/>
  <c r="BK78"/>
  <c r="BS78" s="1"/>
  <c r="BJ78"/>
  <c r="BI78"/>
  <c r="BF78"/>
  <c r="AQ78"/>
  <c r="AN78"/>
  <c r="AW78" s="1"/>
  <c r="BO78" s="1"/>
  <c r="AG78"/>
  <c r="AF78"/>
  <c r="Y78"/>
  <c r="AH78" s="1"/>
  <c r="S78"/>
  <c r="BH78" s="1"/>
  <c r="R78"/>
  <c r="Q78"/>
  <c r="P78"/>
  <c r="O78"/>
  <c r="BD78" s="1"/>
  <c r="N78"/>
  <c r="BC78" s="1"/>
  <c r="K78"/>
  <c r="J78"/>
  <c r="L78" s="1"/>
  <c r="BK77"/>
  <c r="BS77" s="1"/>
  <c r="BJ77"/>
  <c r="BI77"/>
  <c r="AQ77"/>
  <c r="AG77"/>
  <c r="AF77"/>
  <c r="J77"/>
  <c r="K77" s="1"/>
  <c r="BK76"/>
  <c r="BS76" s="1"/>
  <c r="BJ76"/>
  <c r="BI76"/>
  <c r="BH76"/>
  <c r="BG76"/>
  <c r="BF76"/>
  <c r="BE76"/>
  <c r="BD76"/>
  <c r="BC76"/>
  <c r="AY76"/>
  <c r="BQ76" s="1"/>
  <c r="AW76"/>
  <c r="BO76" s="1"/>
  <c r="AU76"/>
  <c r="BM76" s="1"/>
  <c r="AQ76"/>
  <c r="AZ76" s="1"/>
  <c r="BR76" s="1"/>
  <c r="AP76"/>
  <c r="AO76"/>
  <c r="AX76" s="1"/>
  <c r="BP76" s="1"/>
  <c r="AN76"/>
  <c r="AM76"/>
  <c r="AV76" s="1"/>
  <c r="BN76" s="1"/>
  <c r="AL76"/>
  <c r="AK76"/>
  <c r="AT76" s="1"/>
  <c r="BL76" s="1"/>
  <c r="AH76"/>
  <c r="AG76"/>
  <c r="AF76"/>
  <c r="J76"/>
  <c r="K76" s="1"/>
  <c r="BK75"/>
  <c r="BS75" s="1"/>
  <c r="BJ75"/>
  <c r="BI75"/>
  <c r="BH75"/>
  <c r="BG75"/>
  <c r="BF75"/>
  <c r="BE75"/>
  <c r="BD75"/>
  <c r="BC75"/>
  <c r="AY75"/>
  <c r="BQ75" s="1"/>
  <c r="AW75"/>
  <c r="BO75" s="1"/>
  <c r="AU75"/>
  <c r="BM75" s="1"/>
  <c r="AQ75"/>
  <c r="AZ75" s="1"/>
  <c r="BR75" s="1"/>
  <c r="AP75"/>
  <c r="AO75"/>
  <c r="AX75" s="1"/>
  <c r="BP75" s="1"/>
  <c r="AN75"/>
  <c r="AM75"/>
  <c r="AV75" s="1"/>
  <c r="BN75" s="1"/>
  <c r="AL75"/>
  <c r="AK75"/>
  <c r="AT75" s="1"/>
  <c r="BL75" s="1"/>
  <c r="AH75"/>
  <c r="AG75"/>
  <c r="AF75"/>
  <c r="J75"/>
  <c r="K75" s="1"/>
  <c r="BT75" s="1"/>
  <c r="BK74"/>
  <c r="BS74" s="1"/>
  <c r="BJ74"/>
  <c r="BI74"/>
  <c r="BH74"/>
  <c r="BG74"/>
  <c r="BF74"/>
  <c r="BE74"/>
  <c r="BD74"/>
  <c r="BC74"/>
  <c r="AY74"/>
  <c r="BQ74" s="1"/>
  <c r="AW74"/>
  <c r="BO74" s="1"/>
  <c r="AU74"/>
  <c r="BM74" s="1"/>
  <c r="AQ74"/>
  <c r="AZ74" s="1"/>
  <c r="BR74" s="1"/>
  <c r="AP74"/>
  <c r="AO74"/>
  <c r="AX74" s="1"/>
  <c r="BP74" s="1"/>
  <c r="AN74"/>
  <c r="AM74"/>
  <c r="AV74" s="1"/>
  <c r="BN74" s="1"/>
  <c r="AL74"/>
  <c r="AK74"/>
  <c r="AT74" s="1"/>
  <c r="BL74" s="1"/>
  <c r="AH74"/>
  <c r="AG74"/>
  <c r="AF74"/>
  <c r="J74"/>
  <c r="K74" s="1"/>
  <c r="BK73"/>
  <c r="BS73" s="1"/>
  <c r="BJ73"/>
  <c r="BI73"/>
  <c r="AQ73"/>
  <c r="AG73"/>
  <c r="AF73"/>
  <c r="Y73"/>
  <c r="Y77" s="1"/>
  <c r="AH77" s="1"/>
  <c r="S73"/>
  <c r="BH73" s="1"/>
  <c r="R73"/>
  <c r="R77" s="1"/>
  <c r="Q73"/>
  <c r="BF73" s="1"/>
  <c r="P73"/>
  <c r="P77" s="1"/>
  <c r="O73"/>
  <c r="BD73" s="1"/>
  <c r="N73"/>
  <c r="N77" s="1"/>
  <c r="K73"/>
  <c r="J73"/>
  <c r="L73" s="1"/>
  <c r="BK72"/>
  <c r="BS72" s="1"/>
  <c r="BJ72"/>
  <c r="BI72"/>
  <c r="AQ72"/>
  <c r="AH72"/>
  <c r="AG72"/>
  <c r="AF72"/>
  <c r="AZ72" s="1"/>
  <c r="BR72" s="1"/>
  <c r="Y72"/>
  <c r="S72"/>
  <c r="BH72" s="1"/>
  <c r="R72"/>
  <c r="BG72" s="1"/>
  <c r="Q72"/>
  <c r="BF72" s="1"/>
  <c r="P72"/>
  <c r="BE72" s="1"/>
  <c r="O72"/>
  <c r="BD72" s="1"/>
  <c r="N72"/>
  <c r="BC72" s="1"/>
  <c r="J72"/>
  <c r="K72" s="1"/>
  <c r="BK71"/>
  <c r="BS71" s="1"/>
  <c r="BJ71"/>
  <c r="BI71"/>
  <c r="AQ71"/>
  <c r="AG71"/>
  <c r="AF71"/>
  <c r="S71"/>
  <c r="BH71" s="1"/>
  <c r="R71"/>
  <c r="BG71" s="1"/>
  <c r="Q71"/>
  <c r="BF71" s="1"/>
  <c r="P71"/>
  <c r="BE71" s="1"/>
  <c r="O71"/>
  <c r="BD71" s="1"/>
  <c r="N71"/>
  <c r="BC71" s="1"/>
  <c r="K71"/>
  <c r="J71"/>
  <c r="L71" s="1"/>
  <c r="BK70"/>
  <c r="BS70" s="1"/>
  <c r="BJ70"/>
  <c r="BI70"/>
  <c r="BH70"/>
  <c r="BG70"/>
  <c r="BF70"/>
  <c r="BE70"/>
  <c r="BD70"/>
  <c r="BC70"/>
  <c r="AX70"/>
  <c r="BP70" s="1"/>
  <c r="AV70"/>
  <c r="BN70" s="1"/>
  <c r="AT70"/>
  <c r="BL70" s="1"/>
  <c r="AQ70"/>
  <c r="AP70"/>
  <c r="AY70" s="1"/>
  <c r="BQ70" s="1"/>
  <c r="AO70"/>
  <c r="AN70"/>
  <c r="AW70" s="1"/>
  <c r="BO70" s="1"/>
  <c r="AM70"/>
  <c r="AL70"/>
  <c r="AU70" s="1"/>
  <c r="BM70" s="1"/>
  <c r="AK70"/>
  <c r="AH70"/>
  <c r="AG70"/>
  <c r="AF70"/>
  <c r="AZ70" s="1"/>
  <c r="BR70" s="1"/>
  <c r="K70"/>
  <c r="BT70" s="1"/>
  <c r="J70"/>
  <c r="L70" s="1"/>
  <c r="BK69"/>
  <c r="BS69" s="1"/>
  <c r="BJ69"/>
  <c r="BI69"/>
  <c r="BH69"/>
  <c r="BG69"/>
  <c r="BF69"/>
  <c r="BE69"/>
  <c r="BD69"/>
  <c r="BC69"/>
  <c r="AX69"/>
  <c r="BP69" s="1"/>
  <c r="AV69"/>
  <c r="BN69" s="1"/>
  <c r="AT69"/>
  <c r="BL69" s="1"/>
  <c r="AQ69"/>
  <c r="AP69"/>
  <c r="AY69" s="1"/>
  <c r="BQ69" s="1"/>
  <c r="AO69"/>
  <c r="AN69"/>
  <c r="AW69" s="1"/>
  <c r="BO69" s="1"/>
  <c r="AM69"/>
  <c r="AL69"/>
  <c r="AU69" s="1"/>
  <c r="BM69" s="1"/>
  <c r="AK69"/>
  <c r="AH69"/>
  <c r="AG69"/>
  <c r="AF69"/>
  <c r="AZ69" s="1"/>
  <c r="BR69" s="1"/>
  <c r="K69"/>
  <c r="J69"/>
  <c r="L69" s="1"/>
  <c r="BK68"/>
  <c r="BS68" s="1"/>
  <c r="BJ68"/>
  <c r="BI68"/>
  <c r="BH68"/>
  <c r="BG68"/>
  <c r="BF68"/>
  <c r="BE68"/>
  <c r="BD68"/>
  <c r="BC68"/>
  <c r="AX68"/>
  <c r="BP68" s="1"/>
  <c r="AV68"/>
  <c r="BN68" s="1"/>
  <c r="AT68"/>
  <c r="BL68" s="1"/>
  <c r="AQ68"/>
  <c r="AP68"/>
  <c r="AY68" s="1"/>
  <c r="BQ68" s="1"/>
  <c r="AO68"/>
  <c r="AN68"/>
  <c r="AW68" s="1"/>
  <c r="BO68" s="1"/>
  <c r="AM68"/>
  <c r="AL68"/>
  <c r="AU68" s="1"/>
  <c r="BM68" s="1"/>
  <c r="AK68"/>
  <c r="AH68"/>
  <c r="AG68"/>
  <c r="AF68"/>
  <c r="AZ68" s="1"/>
  <c r="BR68" s="1"/>
  <c r="K68"/>
  <c r="J68"/>
  <c r="L68" s="1"/>
  <c r="BK67"/>
  <c r="BS67" s="1"/>
  <c r="BJ67"/>
  <c r="BI67"/>
  <c r="BH67"/>
  <c r="BG67"/>
  <c r="BF67"/>
  <c r="BE67"/>
  <c r="BD67"/>
  <c r="BC67"/>
  <c r="AX67"/>
  <c r="BP67" s="1"/>
  <c r="AV67"/>
  <c r="BN67" s="1"/>
  <c r="AT67"/>
  <c r="BL67" s="1"/>
  <c r="AQ67"/>
  <c r="AP67"/>
  <c r="AY67" s="1"/>
  <c r="BQ67" s="1"/>
  <c r="AO67"/>
  <c r="AN67"/>
  <c r="AW67" s="1"/>
  <c r="BO67" s="1"/>
  <c r="AM67"/>
  <c r="AL67"/>
  <c r="AU67" s="1"/>
  <c r="BM67" s="1"/>
  <c r="AK67"/>
  <c r="AH67"/>
  <c r="AG67"/>
  <c r="AF67"/>
  <c r="AZ67" s="1"/>
  <c r="BR67" s="1"/>
  <c r="Y67"/>
  <c r="Y71" s="1"/>
  <c r="AH71" s="1"/>
  <c r="J67"/>
  <c r="K67" s="1"/>
  <c r="BT67" s="1"/>
  <c r="O66"/>
  <c r="N66"/>
  <c r="BK63"/>
  <c r="BJ63"/>
  <c r="BI63"/>
  <c r="BH63"/>
  <c r="BG63"/>
  <c r="BF63"/>
  <c r="BE63"/>
  <c r="BD63"/>
  <c r="BC63"/>
  <c r="AX63"/>
  <c r="BP63" s="1"/>
  <c r="AV63"/>
  <c r="BN63" s="1"/>
  <c r="AT63"/>
  <c r="BL63" s="1"/>
  <c r="AQ63"/>
  <c r="AP63"/>
  <c r="AY63" s="1"/>
  <c r="BQ63" s="1"/>
  <c r="AO63"/>
  <c r="AN63"/>
  <c r="AW63" s="1"/>
  <c r="BO63" s="1"/>
  <c r="AM63"/>
  <c r="AL63"/>
  <c r="AU63" s="1"/>
  <c r="BM63" s="1"/>
  <c r="AK63"/>
  <c r="AH63"/>
  <c r="AG63"/>
  <c r="AF63"/>
  <c r="AZ63" s="1"/>
  <c r="BR63" s="1"/>
  <c r="K63"/>
  <c r="J63"/>
  <c r="L63" s="1"/>
  <c r="BK62"/>
  <c r="BS62" s="1"/>
  <c r="BJ62"/>
  <c r="BI62"/>
  <c r="BH62"/>
  <c r="BG62"/>
  <c r="BF62"/>
  <c r="BE62"/>
  <c r="BD62"/>
  <c r="BC62"/>
  <c r="AX62"/>
  <c r="BP62" s="1"/>
  <c r="AV62"/>
  <c r="BN62" s="1"/>
  <c r="AT62"/>
  <c r="BL62" s="1"/>
  <c r="AP62"/>
  <c r="AY62" s="1"/>
  <c r="BQ62" s="1"/>
  <c r="AO62"/>
  <c r="AN62"/>
  <c r="AW62" s="1"/>
  <c r="BO62" s="1"/>
  <c r="AM62"/>
  <c r="AL62"/>
  <c r="AU62" s="1"/>
  <c r="BM62" s="1"/>
  <c r="AK62"/>
  <c r="AH62"/>
  <c r="AG62"/>
  <c r="AF62"/>
  <c r="J62"/>
  <c r="L62" s="1"/>
  <c r="G62"/>
  <c r="AQ62" s="1"/>
  <c r="AZ62" s="1"/>
  <c r="BR62" s="1"/>
  <c r="BK61"/>
  <c r="BS61" s="1"/>
  <c r="BJ61"/>
  <c r="BI61"/>
  <c r="BH61"/>
  <c r="BG61"/>
  <c r="BF61"/>
  <c r="BE61"/>
  <c r="BD61"/>
  <c r="BC61"/>
  <c r="AY61"/>
  <c r="BQ61" s="1"/>
  <c r="AW61"/>
  <c r="BO61" s="1"/>
  <c r="AU61"/>
  <c r="BM61" s="1"/>
  <c r="AQ61"/>
  <c r="AZ61" s="1"/>
  <c r="BR61" s="1"/>
  <c r="AP61"/>
  <c r="AO61"/>
  <c r="AX61" s="1"/>
  <c r="BP61" s="1"/>
  <c r="AN61"/>
  <c r="AM61"/>
  <c r="AV61" s="1"/>
  <c r="BN61" s="1"/>
  <c r="AL61"/>
  <c r="AK61"/>
  <c r="AT61" s="1"/>
  <c r="BL61" s="1"/>
  <c r="AH61"/>
  <c r="AG61"/>
  <c r="AF61"/>
  <c r="J61"/>
  <c r="K61" s="1"/>
  <c r="BT61" s="1"/>
  <c r="BK60"/>
  <c r="BS60" s="1"/>
  <c r="BJ60"/>
  <c r="BI60"/>
  <c r="BH60"/>
  <c r="BG60"/>
  <c r="BF60"/>
  <c r="BE60"/>
  <c r="BD60"/>
  <c r="BC60"/>
  <c r="AY60"/>
  <c r="BQ60" s="1"/>
  <c r="AW60"/>
  <c r="BO60" s="1"/>
  <c r="AU60"/>
  <c r="BM60" s="1"/>
  <c r="AP60"/>
  <c r="AO60"/>
  <c r="AX60" s="1"/>
  <c r="BP60" s="1"/>
  <c r="AN60"/>
  <c r="AM60"/>
  <c r="AV60" s="1"/>
  <c r="BN60" s="1"/>
  <c r="AL60"/>
  <c r="AK60"/>
  <c r="AT60" s="1"/>
  <c r="BL60" s="1"/>
  <c r="AH60"/>
  <c r="AG60"/>
  <c r="AF60"/>
  <c r="J60"/>
  <c r="L60" s="1"/>
  <c r="H60"/>
  <c r="G60"/>
  <c r="K60" s="1"/>
  <c r="BK59"/>
  <c r="BS59" s="1"/>
  <c r="BJ59"/>
  <c r="BI59"/>
  <c r="BH59"/>
  <c r="BG59"/>
  <c r="BF59"/>
  <c r="BE59"/>
  <c r="BD59"/>
  <c r="BC59"/>
  <c r="AY59"/>
  <c r="BQ59" s="1"/>
  <c r="AW59"/>
  <c r="BO59" s="1"/>
  <c r="AU59"/>
  <c r="BM59" s="1"/>
  <c r="AQ59"/>
  <c r="AZ59" s="1"/>
  <c r="BR59" s="1"/>
  <c r="AP59"/>
  <c r="AO59"/>
  <c r="AX59" s="1"/>
  <c r="BP59" s="1"/>
  <c r="AN59"/>
  <c r="AM59"/>
  <c r="AV59" s="1"/>
  <c r="BN59" s="1"/>
  <c r="AL59"/>
  <c r="AK59"/>
  <c r="AT59" s="1"/>
  <c r="BL59" s="1"/>
  <c r="AH59"/>
  <c r="AG59"/>
  <c r="AF59"/>
  <c r="J59"/>
  <c r="K59" s="1"/>
  <c r="BK58"/>
  <c r="BS58" s="1"/>
  <c r="BJ58"/>
  <c r="BI58"/>
  <c r="BH58"/>
  <c r="BG58"/>
  <c r="BF58"/>
  <c r="BE58"/>
  <c r="BD58"/>
  <c r="BC58"/>
  <c r="AY58"/>
  <c r="BQ58" s="1"/>
  <c r="AW58"/>
  <c r="BO58" s="1"/>
  <c r="AU58"/>
  <c r="BM58" s="1"/>
  <c r="AQ58"/>
  <c r="AZ58" s="1"/>
  <c r="BR58" s="1"/>
  <c r="AP58"/>
  <c r="AO58"/>
  <c r="AX58" s="1"/>
  <c r="BP58" s="1"/>
  <c r="AN58"/>
  <c r="AM58"/>
  <c r="AV58" s="1"/>
  <c r="BN58" s="1"/>
  <c r="AL58"/>
  <c r="AK58"/>
  <c r="AT58" s="1"/>
  <c r="BL58" s="1"/>
  <c r="AH58"/>
  <c r="AG58"/>
  <c r="AF58"/>
  <c r="J58"/>
  <c r="K58" s="1"/>
  <c r="BT58" s="1"/>
  <c r="BK57"/>
  <c r="BS57" s="1"/>
  <c r="BJ57"/>
  <c r="BI57"/>
  <c r="BH57"/>
  <c r="BG57"/>
  <c r="BF57"/>
  <c r="BE57"/>
  <c r="BD57"/>
  <c r="BC57"/>
  <c r="AY57"/>
  <c r="BQ57" s="1"/>
  <c r="AW57"/>
  <c r="BO57" s="1"/>
  <c r="AU57"/>
  <c r="BM57" s="1"/>
  <c r="AQ57"/>
  <c r="AZ57" s="1"/>
  <c r="BR57" s="1"/>
  <c r="AP57"/>
  <c r="AO57"/>
  <c r="AX57" s="1"/>
  <c r="BP57" s="1"/>
  <c r="AN57"/>
  <c r="AM57"/>
  <c r="AV57" s="1"/>
  <c r="BN57" s="1"/>
  <c r="AL57"/>
  <c r="AK57"/>
  <c r="AT57" s="1"/>
  <c r="BL57" s="1"/>
  <c r="AH57"/>
  <c r="AG57"/>
  <c r="AF57"/>
  <c r="J57"/>
  <c r="K57" s="1"/>
  <c r="BK56"/>
  <c r="BS56" s="1"/>
  <c r="BJ56"/>
  <c r="BI56"/>
  <c r="BH56"/>
  <c r="BG56"/>
  <c r="BF56"/>
  <c r="BE56"/>
  <c r="BD56"/>
  <c r="BC56"/>
  <c r="AY56"/>
  <c r="BQ56" s="1"/>
  <c r="AW56"/>
  <c r="BO56" s="1"/>
  <c r="AU56"/>
  <c r="BM56" s="1"/>
  <c r="AQ56"/>
  <c r="AZ56" s="1"/>
  <c r="BR56" s="1"/>
  <c r="AP56"/>
  <c r="AO56"/>
  <c r="AX56" s="1"/>
  <c r="BP56" s="1"/>
  <c r="AN56"/>
  <c r="AM56"/>
  <c r="AV56" s="1"/>
  <c r="BN56" s="1"/>
  <c r="AL56"/>
  <c r="AK56"/>
  <c r="AT56" s="1"/>
  <c r="BL56" s="1"/>
  <c r="AH56"/>
  <c r="AG56"/>
  <c r="AF56"/>
  <c r="J56"/>
  <c r="K56" s="1"/>
  <c r="BT56" s="1"/>
  <c r="BK55"/>
  <c r="BS55" s="1"/>
  <c r="BJ55"/>
  <c r="BI55"/>
  <c r="BH55"/>
  <c r="BG55"/>
  <c r="BF55"/>
  <c r="BE55"/>
  <c r="BD55"/>
  <c r="BC55"/>
  <c r="AY55"/>
  <c r="BQ55" s="1"/>
  <c r="AW55"/>
  <c r="BO55" s="1"/>
  <c r="AU55"/>
  <c r="BM55" s="1"/>
  <c r="AQ55"/>
  <c r="AZ55" s="1"/>
  <c r="BR55" s="1"/>
  <c r="AP55"/>
  <c r="AO55"/>
  <c r="AX55" s="1"/>
  <c r="BP55" s="1"/>
  <c r="AN55"/>
  <c r="AM55"/>
  <c r="AV55" s="1"/>
  <c r="BN55" s="1"/>
  <c r="AL55"/>
  <c r="AK55"/>
  <c r="AT55" s="1"/>
  <c r="BL55" s="1"/>
  <c r="AH55"/>
  <c r="AG55"/>
  <c r="AF55"/>
  <c r="J55"/>
  <c r="K55" s="1"/>
  <c r="BK54"/>
  <c r="BS54" s="1"/>
  <c r="BJ54"/>
  <c r="BI54"/>
  <c r="BH54"/>
  <c r="BG54"/>
  <c r="BF54"/>
  <c r="BE54"/>
  <c r="BD54"/>
  <c r="BC54"/>
  <c r="AY54"/>
  <c r="BQ54" s="1"/>
  <c r="AW54"/>
  <c r="BO54" s="1"/>
  <c r="AU54"/>
  <c r="BM54" s="1"/>
  <c r="AQ54"/>
  <c r="AZ54" s="1"/>
  <c r="BR54" s="1"/>
  <c r="AP54"/>
  <c r="AO54"/>
  <c r="AX54" s="1"/>
  <c r="BP54" s="1"/>
  <c r="AN54"/>
  <c r="AM54"/>
  <c r="AV54" s="1"/>
  <c r="BN54" s="1"/>
  <c r="AL54"/>
  <c r="AK54"/>
  <c r="AT54" s="1"/>
  <c r="BL54" s="1"/>
  <c r="AH54"/>
  <c r="AG54"/>
  <c r="AF54"/>
  <c r="J54"/>
  <c r="K54" s="1"/>
  <c r="O53"/>
  <c r="N53"/>
  <c r="N52"/>
  <c r="BK39"/>
  <c r="BJ39"/>
  <c r="BI39"/>
  <c r="AS39"/>
  <c r="AR39"/>
  <c r="BA39" s="1"/>
  <c r="AQ39"/>
  <c r="AH39"/>
  <c r="AG39"/>
  <c r="AF39"/>
  <c r="BB39" s="1"/>
  <c r="BS39" s="1"/>
  <c r="Y39"/>
  <c r="S39"/>
  <c r="BH39" s="1"/>
  <c r="R39"/>
  <c r="BG39" s="1"/>
  <c r="Q39"/>
  <c r="BF39" s="1"/>
  <c r="P39"/>
  <c r="BE39" s="1"/>
  <c r="O39"/>
  <c r="BD39" s="1"/>
  <c r="N39"/>
  <c r="BC39" s="1"/>
  <c r="J39"/>
  <c r="K39" s="1"/>
  <c r="BK38"/>
  <c r="BJ38"/>
  <c r="BI38"/>
  <c r="AS38"/>
  <c r="BB38" s="1"/>
  <c r="BS38" s="1"/>
  <c r="AR38"/>
  <c r="AQ38"/>
  <c r="AZ38" s="1"/>
  <c r="BR38" s="1"/>
  <c r="AG38"/>
  <c r="AF38"/>
  <c r="Y38"/>
  <c r="AH38" s="1"/>
  <c r="S38"/>
  <c r="BH38" s="1"/>
  <c r="R38"/>
  <c r="BG38" s="1"/>
  <c r="Q38"/>
  <c r="BF38" s="1"/>
  <c r="P38"/>
  <c r="BE38" s="1"/>
  <c r="O38"/>
  <c r="BD38" s="1"/>
  <c r="N38"/>
  <c r="BC38" s="1"/>
  <c r="K38"/>
  <c r="J38"/>
  <c r="L38" s="1"/>
  <c r="BK37"/>
  <c r="BJ37"/>
  <c r="BI37"/>
  <c r="AS37"/>
  <c r="AR37"/>
  <c r="BA37" s="1"/>
  <c r="AQ37"/>
  <c r="AG37"/>
  <c r="AF37"/>
  <c r="S37"/>
  <c r="BH37" s="1"/>
  <c r="Q37"/>
  <c r="BF37" s="1"/>
  <c r="O37"/>
  <c r="BD37" s="1"/>
  <c r="J37"/>
  <c r="K37" s="1"/>
  <c r="BK36"/>
  <c r="BJ36"/>
  <c r="BI36"/>
  <c r="BH36"/>
  <c r="BG36"/>
  <c r="BF36"/>
  <c r="BE36"/>
  <c r="BD36"/>
  <c r="BC36"/>
  <c r="AY36"/>
  <c r="BQ36" s="1"/>
  <c r="AW36"/>
  <c r="BO36" s="1"/>
  <c r="AU36"/>
  <c r="BM36" s="1"/>
  <c r="AS36"/>
  <c r="BB36" s="1"/>
  <c r="BS36" s="1"/>
  <c r="AR36"/>
  <c r="AQ36"/>
  <c r="AZ36" s="1"/>
  <c r="BR36" s="1"/>
  <c r="AP36"/>
  <c r="AO36"/>
  <c r="AX36" s="1"/>
  <c r="BP36" s="1"/>
  <c r="AN36"/>
  <c r="AM36"/>
  <c r="AV36" s="1"/>
  <c r="BN36" s="1"/>
  <c r="AL36"/>
  <c r="AK36"/>
  <c r="AT36" s="1"/>
  <c r="BL36" s="1"/>
  <c r="AH36"/>
  <c r="AG36"/>
  <c r="BA36" s="1"/>
  <c r="AF36"/>
  <c r="J36"/>
  <c r="K36" s="1"/>
  <c r="BT36" s="1"/>
  <c r="BK35"/>
  <c r="BJ35"/>
  <c r="BI35"/>
  <c r="BH35"/>
  <c r="BG35"/>
  <c r="BF35"/>
  <c r="BE35"/>
  <c r="BD35"/>
  <c r="BC35"/>
  <c r="AY35"/>
  <c r="BQ35" s="1"/>
  <c r="AW35"/>
  <c r="BO35" s="1"/>
  <c r="AU35"/>
  <c r="BM35" s="1"/>
  <c r="AS35"/>
  <c r="BB35" s="1"/>
  <c r="BS35" s="1"/>
  <c r="AR35"/>
  <c r="AQ35"/>
  <c r="AZ35" s="1"/>
  <c r="BR35" s="1"/>
  <c r="AP35"/>
  <c r="AO35"/>
  <c r="AX35" s="1"/>
  <c r="BP35" s="1"/>
  <c r="AN35"/>
  <c r="AM35"/>
  <c r="AV35" s="1"/>
  <c r="BN35" s="1"/>
  <c r="AL35"/>
  <c r="AK35"/>
  <c r="AT35" s="1"/>
  <c r="BL35" s="1"/>
  <c r="AH35"/>
  <c r="AG35"/>
  <c r="BA35" s="1"/>
  <c r="AF35"/>
  <c r="J35"/>
  <c r="K35" s="1"/>
  <c r="BK34"/>
  <c r="BJ34"/>
  <c r="BI34"/>
  <c r="BH34"/>
  <c r="BG34"/>
  <c r="BF34"/>
  <c r="BE34"/>
  <c r="BD34"/>
  <c r="BC34"/>
  <c r="AY34"/>
  <c r="BQ34" s="1"/>
  <c r="AW34"/>
  <c r="BO34" s="1"/>
  <c r="AU34"/>
  <c r="BM34" s="1"/>
  <c r="AS34"/>
  <c r="BB34" s="1"/>
  <c r="BS34" s="1"/>
  <c r="AR34"/>
  <c r="AQ34"/>
  <c r="AZ34" s="1"/>
  <c r="BR34" s="1"/>
  <c r="AP34"/>
  <c r="AO34"/>
  <c r="AX34" s="1"/>
  <c r="BP34" s="1"/>
  <c r="AN34"/>
  <c r="AM34"/>
  <c r="AV34" s="1"/>
  <c r="BN34" s="1"/>
  <c r="AL34"/>
  <c r="AK34"/>
  <c r="AT34" s="1"/>
  <c r="BL34" s="1"/>
  <c r="AH34"/>
  <c r="AG34"/>
  <c r="BA34" s="1"/>
  <c r="AF34"/>
  <c r="J34"/>
  <c r="K34" s="1"/>
  <c r="BT34" s="1"/>
  <c r="BK33"/>
  <c r="BJ33"/>
  <c r="BI33"/>
  <c r="AS33"/>
  <c r="AR33"/>
  <c r="AQ33"/>
  <c r="AG33"/>
  <c r="AF33"/>
  <c r="Y33"/>
  <c r="Y37" s="1"/>
  <c r="AH37" s="1"/>
  <c r="S33"/>
  <c r="BH33" s="1"/>
  <c r="R33"/>
  <c r="R37" s="1"/>
  <c r="Q33"/>
  <c r="BF33" s="1"/>
  <c r="P33"/>
  <c r="P37" s="1"/>
  <c r="O33"/>
  <c r="BD33" s="1"/>
  <c r="N33"/>
  <c r="N37" s="1"/>
  <c r="K33"/>
  <c r="J33"/>
  <c r="L33" s="1"/>
  <c r="BK32"/>
  <c r="BJ32"/>
  <c r="BI32"/>
  <c r="AS32"/>
  <c r="AR32"/>
  <c r="BA32" s="1"/>
  <c r="AQ32"/>
  <c r="AH32"/>
  <c r="AG32"/>
  <c r="AF32"/>
  <c r="BB32" s="1"/>
  <c r="BS32" s="1"/>
  <c r="Y32"/>
  <c r="S32"/>
  <c r="BH32" s="1"/>
  <c r="R32"/>
  <c r="BG32" s="1"/>
  <c r="Q32"/>
  <c r="BF32" s="1"/>
  <c r="P32"/>
  <c r="BE32" s="1"/>
  <c r="O32"/>
  <c r="BD32" s="1"/>
  <c r="N32"/>
  <c r="BC32" s="1"/>
  <c r="J32"/>
  <c r="K32" s="1"/>
  <c r="BK31"/>
  <c r="BJ31"/>
  <c r="BI31"/>
  <c r="AS31"/>
  <c r="BB31" s="1"/>
  <c r="BS31" s="1"/>
  <c r="AR31"/>
  <c r="AQ31"/>
  <c r="AZ31" s="1"/>
  <c r="BR31" s="1"/>
  <c r="AG31"/>
  <c r="AF31"/>
  <c r="Y31"/>
  <c r="AH31" s="1"/>
  <c r="S31"/>
  <c r="BH31" s="1"/>
  <c r="R31"/>
  <c r="BG31" s="1"/>
  <c r="Q31"/>
  <c r="BF31" s="1"/>
  <c r="P31"/>
  <c r="BE31" s="1"/>
  <c r="O31"/>
  <c r="BD31" s="1"/>
  <c r="N31"/>
  <c r="BC31" s="1"/>
  <c r="K31"/>
  <c r="J31"/>
  <c r="L31" s="1"/>
  <c r="BK30"/>
  <c r="BJ30"/>
  <c r="BI30"/>
  <c r="BH30"/>
  <c r="BG30"/>
  <c r="BF30"/>
  <c r="BE30"/>
  <c r="BD30"/>
  <c r="BC30"/>
  <c r="AX30"/>
  <c r="BP30" s="1"/>
  <c r="AV30"/>
  <c r="BN30" s="1"/>
  <c r="AT30"/>
  <c r="BL30" s="1"/>
  <c r="AS30"/>
  <c r="AR30"/>
  <c r="BA30" s="1"/>
  <c r="AQ30"/>
  <c r="AP30"/>
  <c r="AY30" s="1"/>
  <c r="BQ30" s="1"/>
  <c r="AO30"/>
  <c r="AN30"/>
  <c r="AW30" s="1"/>
  <c r="BO30" s="1"/>
  <c r="AM30"/>
  <c r="AL30"/>
  <c r="AU30" s="1"/>
  <c r="BM30" s="1"/>
  <c r="AK30"/>
  <c r="AH30"/>
  <c r="AG30"/>
  <c r="AF30"/>
  <c r="BB30" s="1"/>
  <c r="BS30" s="1"/>
  <c r="K30"/>
  <c r="J30"/>
  <c r="L30" s="1"/>
  <c r="BK29"/>
  <c r="BJ29"/>
  <c r="BI29"/>
  <c r="BH29"/>
  <c r="BG29"/>
  <c r="BF29"/>
  <c r="BE29"/>
  <c r="BD29"/>
  <c r="BC29"/>
  <c r="AX29"/>
  <c r="BP29" s="1"/>
  <c r="AV29"/>
  <c r="BN29" s="1"/>
  <c r="AT29"/>
  <c r="BL29" s="1"/>
  <c r="AS29"/>
  <c r="AR29"/>
  <c r="BA29" s="1"/>
  <c r="AQ29"/>
  <c r="AP29"/>
  <c r="AY29" s="1"/>
  <c r="BQ29" s="1"/>
  <c r="AO29"/>
  <c r="AN29"/>
  <c r="AW29" s="1"/>
  <c r="BO29" s="1"/>
  <c r="AM29"/>
  <c r="AL29"/>
  <c r="AU29" s="1"/>
  <c r="BM29" s="1"/>
  <c r="AK29"/>
  <c r="AH29"/>
  <c r="AG29"/>
  <c r="AF29"/>
  <c r="BB29" s="1"/>
  <c r="BS29" s="1"/>
  <c r="K29"/>
  <c r="J29"/>
  <c r="L29" s="1"/>
  <c r="BK28"/>
  <c r="BJ28"/>
  <c r="BI28"/>
  <c r="BH28"/>
  <c r="BG28"/>
  <c r="BF28"/>
  <c r="BE28"/>
  <c r="BD28"/>
  <c r="BC28"/>
  <c r="AX28"/>
  <c r="BP28" s="1"/>
  <c r="AV28"/>
  <c r="BN28" s="1"/>
  <c r="AT28"/>
  <c r="BL28" s="1"/>
  <c r="AS28"/>
  <c r="AR28"/>
  <c r="BA28" s="1"/>
  <c r="AQ28"/>
  <c r="AP28"/>
  <c r="AY28" s="1"/>
  <c r="BQ28" s="1"/>
  <c r="AO28"/>
  <c r="AN28"/>
  <c r="AW28" s="1"/>
  <c r="BO28" s="1"/>
  <c r="AM28"/>
  <c r="AL28"/>
  <c r="AU28" s="1"/>
  <c r="BM28" s="1"/>
  <c r="AK28"/>
  <c r="AH28"/>
  <c r="AG28"/>
  <c r="AF28"/>
  <c r="BB28" s="1"/>
  <c r="BS28" s="1"/>
  <c r="K28"/>
  <c r="J28"/>
  <c r="L28" s="1"/>
  <c r="BK27"/>
  <c r="BJ27"/>
  <c r="BI27"/>
  <c r="BH27"/>
  <c r="BG27"/>
  <c r="BF27"/>
  <c r="BE27"/>
  <c r="BD27"/>
  <c r="BC27"/>
  <c r="AX27"/>
  <c r="BP27" s="1"/>
  <c r="AV27"/>
  <c r="BN27" s="1"/>
  <c r="AT27"/>
  <c r="BL27" s="1"/>
  <c r="AS27"/>
  <c r="AR27"/>
  <c r="BA27" s="1"/>
  <c r="AQ27"/>
  <c r="AP27"/>
  <c r="AY27" s="1"/>
  <c r="BQ27" s="1"/>
  <c r="AO27"/>
  <c r="AN27"/>
  <c r="AW27" s="1"/>
  <c r="BO27" s="1"/>
  <c r="AM27"/>
  <c r="AL27"/>
  <c r="AU27" s="1"/>
  <c r="BM27" s="1"/>
  <c r="AK27"/>
  <c r="AH27"/>
  <c r="AG27"/>
  <c r="AF27"/>
  <c r="BB27" s="1"/>
  <c r="BS27" s="1"/>
  <c r="Y27"/>
  <c r="J27"/>
  <c r="K27" s="1"/>
  <c r="O26"/>
  <c r="N26"/>
  <c r="BK23"/>
  <c r="BJ23"/>
  <c r="BI23"/>
  <c r="BH23"/>
  <c r="BG23"/>
  <c r="BF23"/>
  <c r="BE23"/>
  <c r="BD23"/>
  <c r="BC23"/>
  <c r="AX23"/>
  <c r="BP23" s="1"/>
  <c r="AV23"/>
  <c r="BN23" s="1"/>
  <c r="AT23"/>
  <c r="BL23" s="1"/>
  <c r="AS23"/>
  <c r="AR23"/>
  <c r="BA23" s="1"/>
  <c r="AQ23"/>
  <c r="AP23"/>
  <c r="AY23" s="1"/>
  <c r="BQ23" s="1"/>
  <c r="AO23"/>
  <c r="AN23"/>
  <c r="AW23" s="1"/>
  <c r="BO23" s="1"/>
  <c r="AM23"/>
  <c r="AL23"/>
  <c r="AU23" s="1"/>
  <c r="BM23" s="1"/>
  <c r="AK23"/>
  <c r="AH23"/>
  <c r="AG23"/>
  <c r="AF23"/>
  <c r="BB23" s="1"/>
  <c r="K23"/>
  <c r="J23"/>
  <c r="L23" s="1"/>
  <c r="BK22"/>
  <c r="BJ22"/>
  <c r="BI22"/>
  <c r="BH22"/>
  <c r="BG22"/>
  <c r="BF22"/>
  <c r="BE22"/>
  <c r="BD22"/>
  <c r="BC22"/>
  <c r="AX22"/>
  <c r="BP22" s="1"/>
  <c r="AV22"/>
  <c r="BN22" s="1"/>
  <c r="AT22"/>
  <c r="BL22" s="1"/>
  <c r="AR22"/>
  <c r="BA22" s="1"/>
  <c r="AP22"/>
  <c r="AY22" s="1"/>
  <c r="BQ22" s="1"/>
  <c r="AO22"/>
  <c r="AN22"/>
  <c r="AW22" s="1"/>
  <c r="BO22" s="1"/>
  <c r="AM22"/>
  <c r="AL22"/>
  <c r="AU22" s="1"/>
  <c r="BM22" s="1"/>
  <c r="AK22"/>
  <c r="AH22"/>
  <c r="AG22"/>
  <c r="AF22"/>
  <c r="J22"/>
  <c r="L22" s="1"/>
  <c r="G22"/>
  <c r="AS22" s="1"/>
  <c r="BB22" s="1"/>
  <c r="BS22" s="1"/>
  <c r="BK21"/>
  <c r="BJ21"/>
  <c r="BI21"/>
  <c r="BH21"/>
  <c r="BG21"/>
  <c r="BF21"/>
  <c r="BE21"/>
  <c r="BD21"/>
  <c r="BC21"/>
  <c r="AY21"/>
  <c r="BQ21" s="1"/>
  <c r="AW21"/>
  <c r="BO21" s="1"/>
  <c r="AU21"/>
  <c r="BM21" s="1"/>
  <c r="AS21"/>
  <c r="BB21" s="1"/>
  <c r="BS21" s="1"/>
  <c r="AR21"/>
  <c r="AQ21"/>
  <c r="AZ21" s="1"/>
  <c r="BR21" s="1"/>
  <c r="AP21"/>
  <c r="AO21"/>
  <c r="AX21" s="1"/>
  <c r="BP21" s="1"/>
  <c r="AN21"/>
  <c r="AM21"/>
  <c r="AV21" s="1"/>
  <c r="BN21" s="1"/>
  <c r="AL21"/>
  <c r="AK21"/>
  <c r="AT21" s="1"/>
  <c r="BL21" s="1"/>
  <c r="AH21"/>
  <c r="AG21"/>
  <c r="BA21" s="1"/>
  <c r="AF21"/>
  <c r="J21"/>
  <c r="K21" s="1"/>
  <c r="BT21" s="1"/>
  <c r="BK20"/>
  <c r="BJ20"/>
  <c r="BI20"/>
  <c r="BH20"/>
  <c r="BG20"/>
  <c r="BF20"/>
  <c r="BE20"/>
  <c r="BD20"/>
  <c r="BC20"/>
  <c r="AY20"/>
  <c r="BQ20" s="1"/>
  <c r="AW20"/>
  <c r="BO20" s="1"/>
  <c r="AU20"/>
  <c r="BM20" s="1"/>
  <c r="AP20"/>
  <c r="AO20"/>
  <c r="AX20" s="1"/>
  <c r="BP20" s="1"/>
  <c r="AN20"/>
  <c r="AM20"/>
  <c r="AV20" s="1"/>
  <c r="BN20" s="1"/>
  <c r="AL20"/>
  <c r="AK20"/>
  <c r="AT20" s="1"/>
  <c r="BL20" s="1"/>
  <c r="AH20"/>
  <c r="AG20"/>
  <c r="AF20"/>
  <c r="J20"/>
  <c r="L20" s="1"/>
  <c r="H20"/>
  <c r="AR20" s="1"/>
  <c r="BA20" s="1"/>
  <c r="G20"/>
  <c r="K20" s="1"/>
  <c r="BK19"/>
  <c r="BJ19"/>
  <c r="BI19"/>
  <c r="BH19"/>
  <c r="BG19"/>
  <c r="BF19"/>
  <c r="BE19"/>
  <c r="BD19"/>
  <c r="BC19"/>
  <c r="AY19"/>
  <c r="BQ19" s="1"/>
  <c r="AW19"/>
  <c r="BO19" s="1"/>
  <c r="AU19"/>
  <c r="BM19" s="1"/>
  <c r="AS19"/>
  <c r="BB19" s="1"/>
  <c r="BS19" s="1"/>
  <c r="AR19"/>
  <c r="AQ19"/>
  <c r="AZ19" s="1"/>
  <c r="BR19" s="1"/>
  <c r="AP19"/>
  <c r="AO19"/>
  <c r="AX19" s="1"/>
  <c r="BP19" s="1"/>
  <c r="AN19"/>
  <c r="AM19"/>
  <c r="AV19" s="1"/>
  <c r="BN19" s="1"/>
  <c r="AL19"/>
  <c r="AK19"/>
  <c r="AT19" s="1"/>
  <c r="BL19" s="1"/>
  <c r="AH19"/>
  <c r="AG19"/>
  <c r="BA19" s="1"/>
  <c r="AF19"/>
  <c r="J19"/>
  <c r="K19" s="1"/>
  <c r="BK18"/>
  <c r="BJ18"/>
  <c r="BI18"/>
  <c r="BH18"/>
  <c r="BG18"/>
  <c r="BF18"/>
  <c r="BE18"/>
  <c r="BD18"/>
  <c r="BC18"/>
  <c r="AY18"/>
  <c r="BQ18" s="1"/>
  <c r="AW18"/>
  <c r="BO18" s="1"/>
  <c r="AU18"/>
  <c r="BM18" s="1"/>
  <c r="AS18"/>
  <c r="BB18" s="1"/>
  <c r="BS18" s="1"/>
  <c r="AR18"/>
  <c r="AQ18"/>
  <c r="AZ18" s="1"/>
  <c r="BR18" s="1"/>
  <c r="AP18"/>
  <c r="AO18"/>
  <c r="AX18" s="1"/>
  <c r="BP18" s="1"/>
  <c r="AN18"/>
  <c r="AM18"/>
  <c r="AV18" s="1"/>
  <c r="BN18" s="1"/>
  <c r="AL18"/>
  <c r="AK18"/>
  <c r="AT18" s="1"/>
  <c r="BL18" s="1"/>
  <c r="AH18"/>
  <c r="AG18"/>
  <c r="BA18" s="1"/>
  <c r="AF18"/>
  <c r="J18"/>
  <c r="K18" s="1"/>
  <c r="BT18" s="1"/>
  <c r="BK17"/>
  <c r="BJ17"/>
  <c r="BI17"/>
  <c r="BH17"/>
  <c r="BG17"/>
  <c r="BF17"/>
  <c r="BE17"/>
  <c r="BD17"/>
  <c r="BC17"/>
  <c r="AY17"/>
  <c r="BQ17" s="1"/>
  <c r="AW17"/>
  <c r="BO17" s="1"/>
  <c r="AU17"/>
  <c r="BM17" s="1"/>
  <c r="AS17"/>
  <c r="BB17" s="1"/>
  <c r="BS17" s="1"/>
  <c r="AR17"/>
  <c r="AQ17"/>
  <c r="AZ17" s="1"/>
  <c r="BR17" s="1"/>
  <c r="AP17"/>
  <c r="AO17"/>
  <c r="AX17" s="1"/>
  <c r="BP17" s="1"/>
  <c r="AN17"/>
  <c r="AM17"/>
  <c r="AV17" s="1"/>
  <c r="BN17" s="1"/>
  <c r="AL17"/>
  <c r="AK17"/>
  <c r="AT17" s="1"/>
  <c r="BL17" s="1"/>
  <c r="AH17"/>
  <c r="AG17"/>
  <c r="BA17" s="1"/>
  <c r="AF17"/>
  <c r="J17"/>
  <c r="K17" s="1"/>
  <c r="BK16"/>
  <c r="BJ16"/>
  <c r="BI16"/>
  <c r="BH16"/>
  <c r="BG16"/>
  <c r="BF16"/>
  <c r="BE16"/>
  <c r="BD16"/>
  <c r="BC16"/>
  <c r="AY16"/>
  <c r="BQ16" s="1"/>
  <c r="AW16"/>
  <c r="BO16" s="1"/>
  <c r="AU16"/>
  <c r="BM16" s="1"/>
  <c r="AS16"/>
  <c r="BB16" s="1"/>
  <c r="BS16" s="1"/>
  <c r="AR16"/>
  <c r="AQ16"/>
  <c r="AZ16" s="1"/>
  <c r="BR16" s="1"/>
  <c r="AP16"/>
  <c r="AO16"/>
  <c r="AX16" s="1"/>
  <c r="BP16" s="1"/>
  <c r="AN16"/>
  <c r="AM16"/>
  <c r="AV16" s="1"/>
  <c r="BN16" s="1"/>
  <c r="AL16"/>
  <c r="AK16"/>
  <c r="AT16" s="1"/>
  <c r="BL16" s="1"/>
  <c r="AH16"/>
  <c r="AG16"/>
  <c r="BA16" s="1"/>
  <c r="AF16"/>
  <c r="J16"/>
  <c r="K16" s="1"/>
  <c r="BT16" s="1"/>
  <c r="BK15"/>
  <c r="BJ15"/>
  <c r="BI15"/>
  <c r="BH15"/>
  <c r="BG15"/>
  <c r="BF15"/>
  <c r="BE15"/>
  <c r="BD15"/>
  <c r="BC15"/>
  <c r="AY15"/>
  <c r="BQ15" s="1"/>
  <c r="AW15"/>
  <c r="BO15" s="1"/>
  <c r="AU15"/>
  <c r="BM15" s="1"/>
  <c r="AS15"/>
  <c r="BB15" s="1"/>
  <c r="BS15" s="1"/>
  <c r="AR15"/>
  <c r="AQ15"/>
  <c r="AZ15" s="1"/>
  <c r="BR15" s="1"/>
  <c r="AP15"/>
  <c r="AO15"/>
  <c r="AX15" s="1"/>
  <c r="BP15" s="1"/>
  <c r="AN15"/>
  <c r="AM15"/>
  <c r="AV15" s="1"/>
  <c r="BN15" s="1"/>
  <c r="AL15"/>
  <c r="AK15"/>
  <c r="AT15" s="1"/>
  <c r="BL15" s="1"/>
  <c r="AH15"/>
  <c r="AG15"/>
  <c r="BA15" s="1"/>
  <c r="AF15"/>
  <c r="J15"/>
  <c r="K15" s="1"/>
  <c r="BK14"/>
  <c r="BJ14"/>
  <c r="BI14"/>
  <c r="BH14"/>
  <c r="BG14"/>
  <c r="BF14"/>
  <c r="BE14"/>
  <c r="BD14"/>
  <c r="BC14"/>
  <c r="AY14"/>
  <c r="BQ14" s="1"/>
  <c r="AW14"/>
  <c r="BO14" s="1"/>
  <c r="AU14"/>
  <c r="BM14" s="1"/>
  <c r="AS14"/>
  <c r="BB14" s="1"/>
  <c r="BS14" s="1"/>
  <c r="AR14"/>
  <c r="AQ14"/>
  <c r="AZ14" s="1"/>
  <c r="BR14" s="1"/>
  <c r="AP14"/>
  <c r="AO14"/>
  <c r="AX14" s="1"/>
  <c r="BP14" s="1"/>
  <c r="AN14"/>
  <c r="AM14"/>
  <c r="AV14" s="1"/>
  <c r="BN14" s="1"/>
  <c r="AL14"/>
  <c r="AK14"/>
  <c r="AT14" s="1"/>
  <c r="BL14" s="1"/>
  <c r="AH14"/>
  <c r="AG14"/>
  <c r="BA14" s="1"/>
  <c r="AF14"/>
  <c r="J14"/>
  <c r="K14" s="1"/>
  <c r="O13"/>
  <c r="N13"/>
  <c r="N12"/>
  <c r="D4"/>
  <c r="AO215" i="20"/>
  <c r="AN215"/>
  <c r="AM215"/>
  <c r="AK215"/>
  <c r="AE215"/>
  <c r="AD215"/>
  <c r="H215"/>
  <c r="X215" s="1"/>
  <c r="E215"/>
  <c r="AC215" s="1"/>
  <c r="AO214"/>
  <c r="AN214"/>
  <c r="AM214"/>
  <c r="AK214"/>
  <c r="AE214"/>
  <c r="AD214"/>
  <c r="H214"/>
  <c r="X214" s="1"/>
  <c r="E214"/>
  <c r="AC214" s="1"/>
  <c r="AO213"/>
  <c r="AN213"/>
  <c r="AM213"/>
  <c r="AK213"/>
  <c r="AE213"/>
  <c r="AD213"/>
  <c r="H213"/>
  <c r="X213" s="1"/>
  <c r="E213"/>
  <c r="AC213" s="1"/>
  <c r="AO212"/>
  <c r="AN212"/>
  <c r="AM212"/>
  <c r="AK212"/>
  <c r="AE212"/>
  <c r="AD212"/>
  <c r="H212"/>
  <c r="X212" s="1"/>
  <c r="E212"/>
  <c r="AC212" s="1"/>
  <c r="L211"/>
  <c r="AO205"/>
  <c r="AN205"/>
  <c r="AM205"/>
  <c r="AK205"/>
  <c r="AE205"/>
  <c r="X205"/>
  <c r="V205"/>
  <c r="H205"/>
  <c r="AA205" s="1"/>
  <c r="AF205" s="1"/>
  <c r="AP205" s="1"/>
  <c r="E205"/>
  <c r="AD205" s="1"/>
  <c r="AO204"/>
  <c r="AN204"/>
  <c r="AM204"/>
  <c r="AK204"/>
  <c r="AE204"/>
  <c r="X204"/>
  <c r="V204"/>
  <c r="H204"/>
  <c r="AA204" s="1"/>
  <c r="AF204" s="1"/>
  <c r="AP204" s="1"/>
  <c r="E204"/>
  <c r="AD204" s="1"/>
  <c r="AO203"/>
  <c r="AN203"/>
  <c r="AM203"/>
  <c r="AK203"/>
  <c r="AE203"/>
  <c r="X203"/>
  <c r="V203"/>
  <c r="H203"/>
  <c r="AA203" s="1"/>
  <c r="AF203" s="1"/>
  <c r="AP203" s="1"/>
  <c r="E203"/>
  <c r="AD203" s="1"/>
  <c r="AO202"/>
  <c r="AN202"/>
  <c r="AM202"/>
  <c r="AK202"/>
  <c r="AE202"/>
  <c r="X202"/>
  <c r="V202"/>
  <c r="H202"/>
  <c r="AA202" s="1"/>
  <c r="AF202" s="1"/>
  <c r="AP202" s="1"/>
  <c r="E202"/>
  <c r="AD202" s="1"/>
  <c r="L201"/>
  <c r="AO195"/>
  <c r="AN195"/>
  <c r="AM195"/>
  <c r="AK195"/>
  <c r="AE195"/>
  <c r="AD195"/>
  <c r="H195"/>
  <c r="X195" s="1"/>
  <c r="E195"/>
  <c r="AC195" s="1"/>
  <c r="AO194"/>
  <c r="AN194"/>
  <c r="AM194"/>
  <c r="AK194"/>
  <c r="AE194"/>
  <c r="AD194"/>
  <c r="H194"/>
  <c r="X194" s="1"/>
  <c r="E194"/>
  <c r="AC194" s="1"/>
  <c r="AO193"/>
  <c r="AN193"/>
  <c r="AM193"/>
  <c r="AK193"/>
  <c r="AE193"/>
  <c r="AC193"/>
  <c r="H193"/>
  <c r="X193" s="1"/>
  <c r="E193"/>
  <c r="AD193" s="1"/>
  <c r="AO192"/>
  <c r="AN192"/>
  <c r="AM192"/>
  <c r="AK192"/>
  <c r="AE192"/>
  <c r="AD192"/>
  <c r="H192"/>
  <c r="X192" s="1"/>
  <c r="E192"/>
  <c r="AC192" s="1"/>
  <c r="L191"/>
  <c r="AM185"/>
  <c r="AK185"/>
  <c r="AE185"/>
  <c r="X185"/>
  <c r="V185"/>
  <c r="H185"/>
  <c r="AA185" s="1"/>
  <c r="AF185" s="1"/>
  <c r="AP185" s="1"/>
  <c r="E185"/>
  <c r="AD185" s="1"/>
  <c r="AM184"/>
  <c r="AK184"/>
  <c r="AE184"/>
  <c r="X184"/>
  <c r="V184"/>
  <c r="H184"/>
  <c r="AA184" s="1"/>
  <c r="AF184" s="1"/>
  <c r="AP184" s="1"/>
  <c r="E184"/>
  <c r="AD184" s="1"/>
  <c r="AM183"/>
  <c r="AK183"/>
  <c r="AE183"/>
  <c r="AB183"/>
  <c r="AB193" s="1"/>
  <c r="X183"/>
  <c r="V183"/>
  <c r="H183"/>
  <c r="AA183" s="1"/>
  <c r="AF183" s="1"/>
  <c r="AP183" s="1"/>
  <c r="E183"/>
  <c r="AC183" s="1"/>
  <c r="AM182"/>
  <c r="AK182"/>
  <c r="AE182"/>
  <c r="X182"/>
  <c r="V182"/>
  <c r="H182"/>
  <c r="AA182" s="1"/>
  <c r="AF182" s="1"/>
  <c r="AP182" s="1"/>
  <c r="E182"/>
  <c r="AD182" s="1"/>
  <c r="L181"/>
  <c r="AM175"/>
  <c r="AK175"/>
  <c r="AE175"/>
  <c r="AD175"/>
  <c r="H175"/>
  <c r="X175" s="1"/>
  <c r="E175"/>
  <c r="AC175" s="1"/>
  <c r="AM174"/>
  <c r="AK174"/>
  <c r="AE174"/>
  <c r="AD174"/>
  <c r="H174"/>
  <c r="X174" s="1"/>
  <c r="E174"/>
  <c r="AC174" s="1"/>
  <c r="AM173"/>
  <c r="AL173"/>
  <c r="AL183" s="1"/>
  <c r="AL193" s="1"/>
  <c r="AK173"/>
  <c r="AE173"/>
  <c r="AC173"/>
  <c r="H173"/>
  <c r="AB173" s="1"/>
  <c r="AG173" s="1"/>
  <c r="E173"/>
  <c r="AD173" s="1"/>
  <c r="AM172"/>
  <c r="AK172"/>
  <c r="AE172"/>
  <c r="AD172"/>
  <c r="H172"/>
  <c r="X172" s="1"/>
  <c r="E172"/>
  <c r="AC172" s="1"/>
  <c r="L171"/>
  <c r="AM165"/>
  <c r="AK165"/>
  <c r="AE165"/>
  <c r="X165"/>
  <c r="V165"/>
  <c r="H165"/>
  <c r="AA165" s="1"/>
  <c r="AF165" s="1"/>
  <c r="AP165" s="1"/>
  <c r="E165"/>
  <c r="AD165" s="1"/>
  <c r="AM164"/>
  <c r="AK164"/>
  <c r="AE164"/>
  <c r="X164"/>
  <c r="V164"/>
  <c r="H164"/>
  <c r="AA164" s="1"/>
  <c r="AF164" s="1"/>
  <c r="AP164" s="1"/>
  <c r="E164"/>
  <c r="AD164" s="1"/>
  <c r="AM163"/>
  <c r="AK163"/>
  <c r="AE163"/>
  <c r="X163"/>
  <c r="V163"/>
  <c r="H163"/>
  <c r="AA163" s="1"/>
  <c r="AF163" s="1"/>
  <c r="AP163" s="1"/>
  <c r="E163"/>
  <c r="AD163" s="1"/>
  <c r="AM162"/>
  <c r="AL162"/>
  <c r="AQ162" s="1"/>
  <c r="AK162"/>
  <c r="AE162"/>
  <c r="AB162"/>
  <c r="AG162" s="1"/>
  <c r="X162"/>
  <c r="V162"/>
  <c r="H162"/>
  <c r="AA162" s="1"/>
  <c r="AF162" s="1"/>
  <c r="AP162" s="1"/>
  <c r="E162"/>
  <c r="AC162" s="1"/>
  <c r="L161"/>
  <c r="AM155"/>
  <c r="AK155"/>
  <c r="AE155"/>
  <c r="AD155"/>
  <c r="H155"/>
  <c r="X155" s="1"/>
  <c r="E155"/>
  <c r="AC155" s="1"/>
  <c r="AM154"/>
  <c r="AK154"/>
  <c r="AE154"/>
  <c r="AD154"/>
  <c r="H154"/>
  <c r="X154" s="1"/>
  <c r="E154"/>
  <c r="AC154" s="1"/>
  <c r="AM153"/>
  <c r="AK153"/>
  <c r="AE153"/>
  <c r="AD153"/>
  <c r="H153"/>
  <c r="X153" s="1"/>
  <c r="E153"/>
  <c r="AC153" s="1"/>
  <c r="AM152"/>
  <c r="AL152"/>
  <c r="AK152"/>
  <c r="AE152"/>
  <c r="AC152"/>
  <c r="H152"/>
  <c r="AB152" s="1"/>
  <c r="AG152" s="1"/>
  <c r="AQ152" s="1"/>
  <c r="E152"/>
  <c r="AD152" s="1"/>
  <c r="L151"/>
  <c r="AM145"/>
  <c r="AK145"/>
  <c r="AE145"/>
  <c r="X145"/>
  <c r="V145"/>
  <c r="H145"/>
  <c r="AA145" s="1"/>
  <c r="AF145" s="1"/>
  <c r="AP145" s="1"/>
  <c r="E145"/>
  <c r="AD145" s="1"/>
  <c r="AM144"/>
  <c r="AK144"/>
  <c r="AE144"/>
  <c r="X144"/>
  <c r="V144"/>
  <c r="H144"/>
  <c r="AA144" s="1"/>
  <c r="AF144" s="1"/>
  <c r="AP144" s="1"/>
  <c r="E144"/>
  <c r="AD144" s="1"/>
  <c r="AM143"/>
  <c r="AK143"/>
  <c r="AE143"/>
  <c r="X143"/>
  <c r="V143"/>
  <c r="H143"/>
  <c r="AA143" s="1"/>
  <c r="AF143" s="1"/>
  <c r="AP143" s="1"/>
  <c r="E143"/>
  <c r="AD143" s="1"/>
  <c r="AM142"/>
  <c r="AL142"/>
  <c r="AK142"/>
  <c r="AE142"/>
  <c r="AB142"/>
  <c r="AG142" s="1"/>
  <c r="AQ142" s="1"/>
  <c r="X142"/>
  <c r="V142"/>
  <c r="H142"/>
  <c r="AA142" s="1"/>
  <c r="AF142" s="1"/>
  <c r="AP142" s="1"/>
  <c r="E142"/>
  <c r="L141"/>
  <c r="AM135"/>
  <c r="AK135"/>
  <c r="AE135"/>
  <c r="AD135"/>
  <c r="H135"/>
  <c r="AA135" s="1"/>
  <c r="AF135" s="1"/>
  <c r="AP135" s="1"/>
  <c r="E135"/>
  <c r="AC135" s="1"/>
  <c r="AM134"/>
  <c r="AK134"/>
  <c r="AE134"/>
  <c r="AD134"/>
  <c r="H134"/>
  <c r="AA134" s="1"/>
  <c r="AF134" s="1"/>
  <c r="AP134" s="1"/>
  <c r="E134"/>
  <c r="AC134" s="1"/>
  <c r="AM133"/>
  <c r="AK133"/>
  <c r="AE133"/>
  <c r="AD133"/>
  <c r="H133"/>
  <c r="AA133" s="1"/>
  <c r="AF133" s="1"/>
  <c r="AP133" s="1"/>
  <c r="E133"/>
  <c r="AC133" s="1"/>
  <c r="AM132"/>
  <c r="AL132"/>
  <c r="AK132"/>
  <c r="AE132"/>
  <c r="AC132"/>
  <c r="H132"/>
  <c r="AA132" s="1"/>
  <c r="AF132" s="1"/>
  <c r="AP132" s="1"/>
  <c r="E132"/>
  <c r="AD132" s="1"/>
  <c r="L131"/>
  <c r="AM125"/>
  <c r="AK125"/>
  <c r="AE125"/>
  <c r="X125"/>
  <c r="V125"/>
  <c r="H125"/>
  <c r="AA125" s="1"/>
  <c r="AF125" s="1"/>
  <c r="AP125" s="1"/>
  <c r="E125"/>
  <c r="AC125" s="1"/>
  <c r="AM124"/>
  <c r="AK124"/>
  <c r="AE124"/>
  <c r="X124"/>
  <c r="V124"/>
  <c r="H124"/>
  <c r="AA124" s="1"/>
  <c r="AF124" s="1"/>
  <c r="AP124" s="1"/>
  <c r="E124"/>
  <c r="AC124" s="1"/>
  <c r="AM123"/>
  <c r="AK123"/>
  <c r="AE123"/>
  <c r="X123"/>
  <c r="V123"/>
  <c r="H123"/>
  <c r="AA123" s="1"/>
  <c r="AF123" s="1"/>
  <c r="AP123" s="1"/>
  <c r="E123"/>
  <c r="AC123" s="1"/>
  <c r="AM122"/>
  <c r="AL122"/>
  <c r="AK122"/>
  <c r="AE122"/>
  <c r="AB122"/>
  <c r="AG122" s="1"/>
  <c r="AQ122" s="1"/>
  <c r="X122"/>
  <c r="V122"/>
  <c r="H122"/>
  <c r="AA122" s="1"/>
  <c r="AF122" s="1"/>
  <c r="AP122" s="1"/>
  <c r="E122"/>
  <c r="AD122" s="1"/>
  <c r="L121"/>
  <c r="AM115"/>
  <c r="AK115"/>
  <c r="AE115"/>
  <c r="H115"/>
  <c r="AA115" s="1"/>
  <c r="AF115" s="1"/>
  <c r="AP115" s="1"/>
  <c r="E115"/>
  <c r="AD115" s="1"/>
  <c r="AM114"/>
  <c r="AK114"/>
  <c r="AE114"/>
  <c r="H114"/>
  <c r="AA114" s="1"/>
  <c r="AF114" s="1"/>
  <c r="AP114" s="1"/>
  <c r="E114"/>
  <c r="AD114" s="1"/>
  <c r="AM113"/>
  <c r="AK113"/>
  <c r="AE113"/>
  <c r="H113"/>
  <c r="AA113" s="1"/>
  <c r="AF113" s="1"/>
  <c r="AP113" s="1"/>
  <c r="E113"/>
  <c r="AD113" s="1"/>
  <c r="AM112"/>
  <c r="AL112"/>
  <c r="AK112"/>
  <c r="AE112"/>
  <c r="H112"/>
  <c r="AA112" s="1"/>
  <c r="AF112" s="1"/>
  <c r="AP112" s="1"/>
  <c r="E112"/>
  <c r="AC112" s="1"/>
  <c r="L111"/>
  <c r="AM105"/>
  <c r="AK105"/>
  <c r="AE105"/>
  <c r="V105"/>
  <c r="H105"/>
  <c r="X105" s="1"/>
  <c r="E105"/>
  <c r="AC105" s="1"/>
  <c r="AM104"/>
  <c r="AK104"/>
  <c r="AE104"/>
  <c r="V104"/>
  <c r="H104"/>
  <c r="X104" s="1"/>
  <c r="E104"/>
  <c r="AC104" s="1"/>
  <c r="AM103"/>
  <c r="AK103"/>
  <c r="AE103"/>
  <c r="X103"/>
  <c r="V103"/>
  <c r="H103"/>
  <c r="AA103" s="1"/>
  <c r="AF103" s="1"/>
  <c r="AP103" s="1"/>
  <c r="E103"/>
  <c r="AC103" s="1"/>
  <c r="AM102"/>
  <c r="AK102"/>
  <c r="AE102"/>
  <c r="X102"/>
  <c r="V102"/>
  <c r="H102"/>
  <c r="AA102" s="1"/>
  <c r="AF102" s="1"/>
  <c r="AP102" s="1"/>
  <c r="E102"/>
  <c r="AC102" s="1"/>
  <c r="L101"/>
  <c r="AM95"/>
  <c r="AK95"/>
  <c r="H95"/>
  <c r="AA95" s="1"/>
  <c r="AF95" s="1"/>
  <c r="AP95" s="1"/>
  <c r="E95"/>
  <c r="J95" s="1"/>
  <c r="AM94"/>
  <c r="AK94"/>
  <c r="H94"/>
  <c r="AA94" s="1"/>
  <c r="AF94" s="1"/>
  <c r="AP94" s="1"/>
  <c r="E94"/>
  <c r="J94" s="1"/>
  <c r="AM93"/>
  <c r="AK93"/>
  <c r="H93"/>
  <c r="AA93" s="1"/>
  <c r="AF93" s="1"/>
  <c r="AP93" s="1"/>
  <c r="E93"/>
  <c r="J93" s="1"/>
  <c r="AM92"/>
  <c r="AK92"/>
  <c r="H92"/>
  <c r="AA92" s="1"/>
  <c r="AF92" s="1"/>
  <c r="AP92" s="1"/>
  <c r="E92"/>
  <c r="J92" s="1"/>
  <c r="L91"/>
  <c r="AM84"/>
  <c r="AK84"/>
  <c r="AE84"/>
  <c r="AD84"/>
  <c r="AC84"/>
  <c r="X84"/>
  <c r="V84"/>
  <c r="I84"/>
  <c r="H84"/>
  <c r="AA84" s="1"/>
  <c r="AF84" s="1"/>
  <c r="AP84" s="1"/>
  <c r="AM83"/>
  <c r="AK83"/>
  <c r="AE83"/>
  <c r="AD83"/>
  <c r="AC83"/>
  <c r="H83"/>
  <c r="AA83" s="1"/>
  <c r="AF83" s="1"/>
  <c r="AP83" s="1"/>
  <c r="AM82"/>
  <c r="AK82"/>
  <c r="AE82"/>
  <c r="AD82"/>
  <c r="AC82"/>
  <c r="X82"/>
  <c r="V82"/>
  <c r="I82"/>
  <c r="H82"/>
  <c r="AA82" s="1"/>
  <c r="AF82" s="1"/>
  <c r="AP82" s="1"/>
  <c r="AM81"/>
  <c r="AK81"/>
  <c r="AE81"/>
  <c r="AD81"/>
  <c r="AC81"/>
  <c r="H81"/>
  <c r="AA81" s="1"/>
  <c r="AF81" s="1"/>
  <c r="AP81" s="1"/>
  <c r="AM80"/>
  <c r="AK80"/>
  <c r="AE80"/>
  <c r="X80"/>
  <c r="V80"/>
  <c r="H80"/>
  <c r="AA80" s="1"/>
  <c r="AF80" s="1"/>
  <c r="AP80" s="1"/>
  <c r="E80"/>
  <c r="AC80" s="1"/>
  <c r="D80"/>
  <c r="J80" s="1"/>
  <c r="AM79"/>
  <c r="AK79"/>
  <c r="AE79"/>
  <c r="AD79"/>
  <c r="AC79"/>
  <c r="H79"/>
  <c r="AA79" s="1"/>
  <c r="AF79" s="1"/>
  <c r="AP79" s="1"/>
  <c r="AM78"/>
  <c r="AK78"/>
  <c r="AE78"/>
  <c r="AD78"/>
  <c r="AC78"/>
  <c r="X78"/>
  <c r="V78"/>
  <c r="I78"/>
  <c r="H78"/>
  <c r="AA78" s="1"/>
  <c r="AF78" s="1"/>
  <c r="AP78" s="1"/>
  <c r="AM77"/>
  <c r="AK77"/>
  <c r="AE77"/>
  <c r="AD77"/>
  <c r="AC77"/>
  <c r="H77"/>
  <c r="AA77" s="1"/>
  <c r="AF77" s="1"/>
  <c r="AP77" s="1"/>
  <c r="AM76"/>
  <c r="AK76"/>
  <c r="AE76"/>
  <c r="AD76"/>
  <c r="AC76"/>
  <c r="X76"/>
  <c r="V76"/>
  <c r="I76"/>
  <c r="H76"/>
  <c r="AA76" s="1"/>
  <c r="AF76" s="1"/>
  <c r="AP76" s="1"/>
  <c r="L75"/>
  <c r="AM68"/>
  <c r="AK68"/>
  <c r="AE68"/>
  <c r="AD68"/>
  <c r="AC68"/>
  <c r="X68"/>
  <c r="V68"/>
  <c r="I68"/>
  <c r="H68"/>
  <c r="AA68" s="1"/>
  <c r="AF68" s="1"/>
  <c r="AP68" s="1"/>
  <c r="AM67"/>
  <c r="AK67"/>
  <c r="AE67"/>
  <c r="AD67"/>
  <c r="AC67"/>
  <c r="H67"/>
  <c r="AA67" s="1"/>
  <c r="AF67" s="1"/>
  <c r="AP67" s="1"/>
  <c r="AM66"/>
  <c r="AK66"/>
  <c r="AE66"/>
  <c r="AD66"/>
  <c r="AC66"/>
  <c r="X66"/>
  <c r="V66"/>
  <c r="I66"/>
  <c r="H66"/>
  <c r="AA66" s="1"/>
  <c r="AF66" s="1"/>
  <c r="AP66" s="1"/>
  <c r="AM65"/>
  <c r="AK65"/>
  <c r="AE65"/>
  <c r="AD65"/>
  <c r="AC65"/>
  <c r="H65"/>
  <c r="AA65" s="1"/>
  <c r="AF65" s="1"/>
  <c r="AP65" s="1"/>
  <c r="AM64"/>
  <c r="AK64"/>
  <c r="AE64"/>
  <c r="X64"/>
  <c r="V64"/>
  <c r="H64"/>
  <c r="AA64" s="1"/>
  <c r="AF64" s="1"/>
  <c r="AP64" s="1"/>
  <c r="E64"/>
  <c r="AC64" s="1"/>
  <c r="D64"/>
  <c r="J64" s="1"/>
  <c r="AM63"/>
  <c r="AK63"/>
  <c r="AE63"/>
  <c r="AD63"/>
  <c r="AC63"/>
  <c r="H63"/>
  <c r="AA63" s="1"/>
  <c r="AF63" s="1"/>
  <c r="AP63" s="1"/>
  <c r="AM62"/>
  <c r="AK62"/>
  <c r="AE62"/>
  <c r="AD62"/>
  <c r="AC62"/>
  <c r="X62"/>
  <c r="V62"/>
  <c r="I62"/>
  <c r="H62"/>
  <c r="AA62" s="1"/>
  <c r="AF62" s="1"/>
  <c r="AP62" s="1"/>
  <c r="AM61"/>
  <c r="AK61"/>
  <c r="AE61"/>
  <c r="AD61"/>
  <c r="AC61"/>
  <c r="H61"/>
  <c r="AA61" s="1"/>
  <c r="AF61" s="1"/>
  <c r="AP61" s="1"/>
  <c r="AM60"/>
  <c r="AK60"/>
  <c r="AE60"/>
  <c r="AD60"/>
  <c r="AC60"/>
  <c r="X60"/>
  <c r="V60"/>
  <c r="I60"/>
  <c r="H60"/>
  <c r="AA60" s="1"/>
  <c r="AF60" s="1"/>
  <c r="AP60" s="1"/>
  <c r="L59"/>
  <c r="AM52"/>
  <c r="AK52"/>
  <c r="AE52"/>
  <c r="AD52"/>
  <c r="AC52"/>
  <c r="X52"/>
  <c r="V52"/>
  <c r="I52"/>
  <c r="H52"/>
  <c r="AA52" s="1"/>
  <c r="AF52" s="1"/>
  <c r="AP52" s="1"/>
  <c r="AM51"/>
  <c r="AK51"/>
  <c r="AE51"/>
  <c r="AD51"/>
  <c r="AC51"/>
  <c r="X51"/>
  <c r="V51"/>
  <c r="I51"/>
  <c r="H51"/>
  <c r="AA51" s="1"/>
  <c r="AF51" s="1"/>
  <c r="AP51" s="1"/>
  <c r="AM50"/>
  <c r="AK50"/>
  <c r="AE50"/>
  <c r="AD50"/>
  <c r="AC50"/>
  <c r="H50"/>
  <c r="X50" s="1"/>
  <c r="AM49"/>
  <c r="AK49"/>
  <c r="AE49"/>
  <c r="AD49"/>
  <c r="AC49"/>
  <c r="X49"/>
  <c r="V49"/>
  <c r="I49"/>
  <c r="H49"/>
  <c r="AA49" s="1"/>
  <c r="AF49" s="1"/>
  <c r="AP49" s="1"/>
  <c r="AM48"/>
  <c r="AK48"/>
  <c r="AE48"/>
  <c r="AD48"/>
  <c r="AC48"/>
  <c r="H48"/>
  <c r="X48" s="1"/>
  <c r="AM47"/>
  <c r="AK47"/>
  <c r="AE47"/>
  <c r="AD47"/>
  <c r="AC47"/>
  <c r="X47"/>
  <c r="V47"/>
  <c r="I47"/>
  <c r="H47"/>
  <c r="AA47" s="1"/>
  <c r="AF47" s="1"/>
  <c r="AP47" s="1"/>
  <c r="AM46"/>
  <c r="AK46"/>
  <c r="AE46"/>
  <c r="AD46"/>
  <c r="AC46"/>
  <c r="H46"/>
  <c r="X46" s="1"/>
  <c r="AM45"/>
  <c r="AK45"/>
  <c r="AE45"/>
  <c r="AD45"/>
  <c r="AC45"/>
  <c r="X45"/>
  <c r="V45"/>
  <c r="I45"/>
  <c r="H45"/>
  <c r="AA45" s="1"/>
  <c r="AF45" s="1"/>
  <c r="AP45" s="1"/>
  <c r="AM44"/>
  <c r="AK44"/>
  <c r="AE44"/>
  <c r="AD44"/>
  <c r="AC44"/>
  <c r="H44"/>
  <c r="X44" s="1"/>
  <c r="L43"/>
  <c r="AM35"/>
  <c r="AK35"/>
  <c r="AE35"/>
  <c r="AD35"/>
  <c r="AC35"/>
  <c r="H35"/>
  <c r="X35" s="1"/>
  <c r="AM34"/>
  <c r="AK34"/>
  <c r="AE34"/>
  <c r="AD34"/>
  <c r="AC34"/>
  <c r="X34"/>
  <c r="V34"/>
  <c r="I34"/>
  <c r="H34"/>
  <c r="AA34" s="1"/>
  <c r="AF34" s="1"/>
  <c r="AP34" s="1"/>
  <c r="AM33"/>
  <c r="AK33"/>
  <c r="AE33"/>
  <c r="AD33"/>
  <c r="AC33"/>
  <c r="H33"/>
  <c r="X33" s="1"/>
  <c r="AM32"/>
  <c r="AK32"/>
  <c r="AE32"/>
  <c r="AD32"/>
  <c r="AC32"/>
  <c r="V32"/>
  <c r="I32"/>
  <c r="H32"/>
  <c r="AA32" s="1"/>
  <c r="AF32" s="1"/>
  <c r="AP32" s="1"/>
  <c r="AM31"/>
  <c r="AK31"/>
  <c r="AE31"/>
  <c r="AD31"/>
  <c r="AC31"/>
  <c r="H31"/>
  <c r="X31" s="1"/>
  <c r="AM30"/>
  <c r="AK30"/>
  <c r="AE30"/>
  <c r="AD30"/>
  <c r="AC30"/>
  <c r="H30"/>
  <c r="AA30" s="1"/>
  <c r="AF30" s="1"/>
  <c r="AP30" s="1"/>
  <c r="AM29"/>
  <c r="AK29"/>
  <c r="AE29"/>
  <c r="AD29"/>
  <c r="AC29"/>
  <c r="H29"/>
  <c r="X29" s="1"/>
  <c r="AM28"/>
  <c r="AK28"/>
  <c r="AE28"/>
  <c r="AD28"/>
  <c r="AC28"/>
  <c r="I28"/>
  <c r="H28"/>
  <c r="AA28" s="1"/>
  <c r="AF28" s="1"/>
  <c r="AP28" s="1"/>
  <c r="AM27"/>
  <c r="AK27"/>
  <c r="AE27"/>
  <c r="AD27"/>
  <c r="AC27"/>
  <c r="V27"/>
  <c r="I27"/>
  <c r="H27"/>
  <c r="X27" s="1"/>
  <c r="L26"/>
  <c r="AO20"/>
  <c r="AN20"/>
  <c r="AM20"/>
  <c r="AK20"/>
  <c r="AE20"/>
  <c r="AD20"/>
  <c r="AC20"/>
  <c r="H20"/>
  <c r="X20" s="1"/>
  <c r="AO19"/>
  <c r="AN19"/>
  <c r="AM19"/>
  <c r="AK19"/>
  <c r="AE19"/>
  <c r="AD19"/>
  <c r="AC19"/>
  <c r="H19"/>
  <c r="AA19" s="1"/>
  <c r="AF19" s="1"/>
  <c r="AP19" s="1"/>
  <c r="AO18"/>
  <c r="AN18"/>
  <c r="AM18"/>
  <c r="AK18"/>
  <c r="AE18"/>
  <c r="AD18"/>
  <c r="AC18"/>
  <c r="I18"/>
  <c r="H18"/>
  <c r="X18" s="1"/>
  <c r="AO17"/>
  <c r="AN17"/>
  <c r="AM17"/>
  <c r="AK17"/>
  <c r="AE17"/>
  <c r="AD17"/>
  <c r="AC17"/>
  <c r="H17"/>
  <c r="AA17" s="1"/>
  <c r="AF17" s="1"/>
  <c r="AP17" s="1"/>
  <c r="AO16"/>
  <c r="AN16"/>
  <c r="AM16"/>
  <c r="AK16"/>
  <c r="AE16"/>
  <c r="AD16"/>
  <c r="AC16"/>
  <c r="V16"/>
  <c r="I16"/>
  <c r="H16"/>
  <c r="X16" s="1"/>
  <c r="AO15"/>
  <c r="AN15"/>
  <c r="AM15"/>
  <c r="AK15"/>
  <c r="AE15"/>
  <c r="AD15"/>
  <c r="AC15"/>
  <c r="H15"/>
  <c r="AA15" s="1"/>
  <c r="AF15" s="1"/>
  <c r="AP15" s="1"/>
  <c r="AO14"/>
  <c r="AN14"/>
  <c r="AM14"/>
  <c r="AK14"/>
  <c r="AE14"/>
  <c r="AD14"/>
  <c r="AC14"/>
  <c r="H14"/>
  <c r="X14" s="1"/>
  <c r="AO13"/>
  <c r="AN13"/>
  <c r="AM13"/>
  <c r="AK13"/>
  <c r="AE13"/>
  <c r="AD13"/>
  <c r="AC13"/>
  <c r="I13"/>
  <c r="H13"/>
  <c r="AA13" s="1"/>
  <c r="AF13" s="1"/>
  <c r="AP13" s="1"/>
  <c r="AO12"/>
  <c r="AN12"/>
  <c r="AM12"/>
  <c r="AK12"/>
  <c r="AE12"/>
  <c r="AD12"/>
  <c r="AC12"/>
  <c r="H12"/>
  <c r="X12" s="1"/>
  <c r="AO11"/>
  <c r="AN11"/>
  <c r="AM11"/>
  <c r="AK11"/>
  <c r="AE11"/>
  <c r="AD11"/>
  <c r="AC11"/>
  <c r="V11"/>
  <c r="I11"/>
  <c r="H11"/>
  <c r="AA11" s="1"/>
  <c r="AF11" s="1"/>
  <c r="AP11" s="1"/>
  <c r="L10"/>
  <c r="AF72" i="22" l="1"/>
  <c r="Z35"/>
  <c r="AD35" s="1"/>
  <c r="AA66"/>
  <c r="AE66" s="1"/>
  <c r="AA75"/>
  <c r="AE75" s="1"/>
  <c r="AF31"/>
  <c r="AF42"/>
  <c r="AA35"/>
  <c r="AE35" s="1"/>
  <c r="AA46"/>
  <c r="AE46" s="1"/>
  <c r="Z56"/>
  <c r="AD56" s="1"/>
  <c r="Z66"/>
  <c r="AD66" s="1"/>
  <c r="AE77"/>
  <c r="Z75"/>
  <c r="AD75" s="1"/>
  <c r="AD77" s="1"/>
  <c r="AF77" s="1"/>
  <c r="S34"/>
  <c r="AA34" s="1"/>
  <c r="AE34" s="1"/>
  <c r="AE36" s="1"/>
  <c r="S45"/>
  <c r="AA45" s="1"/>
  <c r="AE45" s="1"/>
  <c r="AE47" s="1"/>
  <c r="S55"/>
  <c r="AA55" s="1"/>
  <c r="AE55" s="1"/>
  <c r="AE57" s="1"/>
  <c r="S65"/>
  <c r="AA65" s="1"/>
  <c r="AE65" s="1"/>
  <c r="AE67" s="1"/>
  <c r="H67"/>
  <c r="AF25"/>
  <c r="R34"/>
  <c r="Z34" s="1"/>
  <c r="AD34" s="1"/>
  <c r="AD36" s="1"/>
  <c r="AF36" s="1"/>
  <c r="R45"/>
  <c r="Z45" s="1"/>
  <c r="AD45" s="1"/>
  <c r="AD47" s="1"/>
  <c r="AF47" s="1"/>
  <c r="H52"/>
  <c r="R55"/>
  <c r="Z55" s="1"/>
  <c r="AD55" s="1"/>
  <c r="AD57" s="1"/>
  <c r="R65"/>
  <c r="Z65" s="1"/>
  <c r="AD65" s="1"/>
  <c r="AD67" s="1"/>
  <c r="BC37" i="21"/>
  <c r="AK37"/>
  <c r="AT37" s="1"/>
  <c r="BE37"/>
  <c r="AM37"/>
  <c r="AV37" s="1"/>
  <c r="BG37"/>
  <c r="AO37"/>
  <c r="AX37" s="1"/>
  <c r="BP37" s="1"/>
  <c r="BC77"/>
  <c r="AK77"/>
  <c r="AT77" s="1"/>
  <c r="BL77" s="1"/>
  <c r="BE77"/>
  <c r="AM77"/>
  <c r="AV77" s="1"/>
  <c r="BN77" s="1"/>
  <c r="BG77"/>
  <c r="AO77"/>
  <c r="AX77" s="1"/>
  <c r="BP77" s="1"/>
  <c r="BT15"/>
  <c r="BT17"/>
  <c r="BT19"/>
  <c r="BA31"/>
  <c r="BT35"/>
  <c r="BB37"/>
  <c r="BS37" s="1"/>
  <c r="BA38"/>
  <c r="BT55"/>
  <c r="BT57"/>
  <c r="BT59"/>
  <c r="BT63"/>
  <c r="BT68"/>
  <c r="BT69"/>
  <c r="BT14"/>
  <c r="BT54"/>
  <c r="AZ71"/>
  <c r="BR71" s="1"/>
  <c r="BT74"/>
  <c r="BT76"/>
  <c r="AZ77"/>
  <c r="BR77" s="1"/>
  <c r="AZ78"/>
  <c r="BR78" s="1"/>
  <c r="BE78"/>
  <c r="AM78"/>
  <c r="AV78" s="1"/>
  <c r="BN78" s="1"/>
  <c r="BG78"/>
  <c r="AO78"/>
  <c r="AX78" s="1"/>
  <c r="BP78" s="1"/>
  <c r="BC109"/>
  <c r="AK109"/>
  <c r="AT109" s="1"/>
  <c r="BL109" s="1"/>
  <c r="N113"/>
  <c r="BD113"/>
  <c r="AL113"/>
  <c r="AU113" s="1"/>
  <c r="BF113"/>
  <c r="AN113"/>
  <c r="AW113" s="1"/>
  <c r="BH113"/>
  <c r="AP113"/>
  <c r="AY113" s="1"/>
  <c r="BC181"/>
  <c r="AK181"/>
  <c r="AT181" s="1"/>
  <c r="N185"/>
  <c r="BD185"/>
  <c r="AL185"/>
  <c r="AU185" s="1"/>
  <c r="BM185" s="1"/>
  <c r="BF185"/>
  <c r="AN185"/>
  <c r="AW185" s="1"/>
  <c r="BO185" s="1"/>
  <c r="BH185"/>
  <c r="AP185"/>
  <c r="AY185" s="1"/>
  <c r="BQ185" s="1"/>
  <c r="BT199"/>
  <c r="L14"/>
  <c r="L15"/>
  <c r="L16"/>
  <c r="L17"/>
  <c r="L18"/>
  <c r="AQ20"/>
  <c r="AZ20" s="1"/>
  <c r="BR20" s="1"/>
  <c r="BT20" s="1"/>
  <c r="AS20"/>
  <c r="BB20" s="1"/>
  <c r="BS20" s="1"/>
  <c r="L21"/>
  <c r="K22"/>
  <c r="AZ23"/>
  <c r="BR23" s="1"/>
  <c r="BT23" s="1"/>
  <c r="L27"/>
  <c r="AZ27"/>
  <c r="BR27" s="1"/>
  <c r="BT27" s="1"/>
  <c r="AZ28"/>
  <c r="BR28" s="1"/>
  <c r="BT28" s="1"/>
  <c r="AZ29"/>
  <c r="BR29" s="1"/>
  <c r="BT29" s="1"/>
  <c r="AZ30"/>
  <c r="BR30" s="1"/>
  <c r="BT30" s="1"/>
  <c r="AK31"/>
  <c r="AT31" s="1"/>
  <c r="BL31" s="1"/>
  <c r="BT31" s="1"/>
  <c r="AM31"/>
  <c r="AV31" s="1"/>
  <c r="BN31" s="1"/>
  <c r="AO31"/>
  <c r="AX31" s="1"/>
  <c r="BP31" s="1"/>
  <c r="L32"/>
  <c r="AL32"/>
  <c r="AU32" s="1"/>
  <c r="BM32" s="1"/>
  <c r="AN32"/>
  <c r="AW32" s="1"/>
  <c r="BO32" s="1"/>
  <c r="AP32"/>
  <c r="AY32" s="1"/>
  <c r="BQ32" s="1"/>
  <c r="AZ32"/>
  <c r="BR32" s="1"/>
  <c r="AK33"/>
  <c r="AT33" s="1"/>
  <c r="BL33" s="1"/>
  <c r="AM33"/>
  <c r="AV33" s="1"/>
  <c r="AO33"/>
  <c r="AX33" s="1"/>
  <c r="BP33" s="1"/>
  <c r="BC33"/>
  <c r="BE33"/>
  <c r="BG33"/>
  <c r="L34"/>
  <c r="L35"/>
  <c r="L36"/>
  <c r="L37"/>
  <c r="AL37"/>
  <c r="AU37" s="1"/>
  <c r="BM37" s="1"/>
  <c r="AN37"/>
  <c r="AW37" s="1"/>
  <c r="BO37" s="1"/>
  <c r="AP37"/>
  <c r="AY37" s="1"/>
  <c r="BQ37" s="1"/>
  <c r="AZ37"/>
  <c r="BR37" s="1"/>
  <c r="AK38"/>
  <c r="AT38" s="1"/>
  <c r="BL38" s="1"/>
  <c r="BT38" s="1"/>
  <c r="AM38"/>
  <c r="AV38" s="1"/>
  <c r="BN38" s="1"/>
  <c r="AO38"/>
  <c r="AX38" s="1"/>
  <c r="BP38" s="1"/>
  <c r="L39"/>
  <c r="AL39"/>
  <c r="AU39" s="1"/>
  <c r="BM39" s="1"/>
  <c r="AN39"/>
  <c r="AW39" s="1"/>
  <c r="BO39" s="1"/>
  <c r="AP39"/>
  <c r="AY39" s="1"/>
  <c r="BQ39" s="1"/>
  <c r="AZ39"/>
  <c r="BR39" s="1"/>
  <c r="L54"/>
  <c r="L55"/>
  <c r="L56"/>
  <c r="L57"/>
  <c r="L58"/>
  <c r="L59"/>
  <c r="AQ60"/>
  <c r="AZ60" s="1"/>
  <c r="BR60" s="1"/>
  <c r="BT60" s="1"/>
  <c r="L61"/>
  <c r="K62"/>
  <c r="BT62" s="1"/>
  <c r="L67"/>
  <c r="AK71"/>
  <c r="AT71" s="1"/>
  <c r="BL71" s="1"/>
  <c r="BT71" s="1"/>
  <c r="AM71"/>
  <c r="AV71" s="1"/>
  <c r="BN71" s="1"/>
  <c r="AO71"/>
  <c r="AX71" s="1"/>
  <c r="BP71" s="1"/>
  <c r="L72"/>
  <c r="AL72"/>
  <c r="AU72" s="1"/>
  <c r="BM72" s="1"/>
  <c r="AN72"/>
  <c r="AW72" s="1"/>
  <c r="BO72" s="1"/>
  <c r="AP72"/>
  <c r="AY72" s="1"/>
  <c r="BQ72" s="1"/>
  <c r="AK73"/>
  <c r="AT73" s="1"/>
  <c r="AM73"/>
  <c r="AV73" s="1"/>
  <c r="BN73" s="1"/>
  <c r="AO73"/>
  <c r="AX73" s="1"/>
  <c r="BC73"/>
  <c r="BE73"/>
  <c r="BG73"/>
  <c r="L74"/>
  <c r="L75"/>
  <c r="L76"/>
  <c r="L77"/>
  <c r="O77"/>
  <c r="Q77"/>
  <c r="S77"/>
  <c r="AK78"/>
  <c r="AT78" s="1"/>
  <c r="BL78" s="1"/>
  <c r="BT78" s="1"/>
  <c r="AM79"/>
  <c r="AV79" s="1"/>
  <c r="BN79" s="1"/>
  <c r="AZ79"/>
  <c r="BR79" s="1"/>
  <c r="BC79"/>
  <c r="BL79" s="1"/>
  <c r="BG79"/>
  <c r="BP79" s="1"/>
  <c r="AZ90"/>
  <c r="BR90" s="1"/>
  <c r="BB90"/>
  <c r="BS90" s="1"/>
  <c r="BA108"/>
  <c r="BA115"/>
  <c r="BA139"/>
  <c r="BA145"/>
  <c r="BA147"/>
  <c r="BB179"/>
  <c r="BS179" s="1"/>
  <c r="BA180"/>
  <c r="L131"/>
  <c r="L148" s="1"/>
  <c r="K131"/>
  <c r="BD145"/>
  <c r="AL145"/>
  <c r="AU145" s="1"/>
  <c r="BF145"/>
  <c r="AN145"/>
  <c r="AW145" s="1"/>
  <c r="BH145"/>
  <c r="AP145"/>
  <c r="AY145" s="1"/>
  <c r="L168"/>
  <c r="L190" s="1"/>
  <c r="K168"/>
  <c r="L19"/>
  <c r="AQ22"/>
  <c r="AZ22" s="1"/>
  <c r="BR22" s="1"/>
  <c r="AL31"/>
  <c r="AU31" s="1"/>
  <c r="BM31" s="1"/>
  <c r="AN31"/>
  <c r="AW31" s="1"/>
  <c r="BO31" s="1"/>
  <c r="AP31"/>
  <c r="AY31" s="1"/>
  <c r="BQ31" s="1"/>
  <c r="AK32"/>
  <c r="AT32" s="1"/>
  <c r="BL32" s="1"/>
  <c r="BT32" s="1"/>
  <c r="AM32"/>
  <c r="AV32" s="1"/>
  <c r="BN32" s="1"/>
  <c r="AO32"/>
  <c r="AX32" s="1"/>
  <c r="BP32" s="1"/>
  <c r="AH33"/>
  <c r="BA33" s="1"/>
  <c r="AL33"/>
  <c r="AU33" s="1"/>
  <c r="BM33" s="1"/>
  <c r="AN33"/>
  <c r="AW33" s="1"/>
  <c r="BO33" s="1"/>
  <c r="AP33"/>
  <c r="AY33" s="1"/>
  <c r="BQ33" s="1"/>
  <c r="AL38"/>
  <c r="AU38" s="1"/>
  <c r="BM38" s="1"/>
  <c r="AN38"/>
  <c r="AW38" s="1"/>
  <c r="BO38" s="1"/>
  <c r="AP38"/>
  <c r="AY38" s="1"/>
  <c r="BQ38" s="1"/>
  <c r="AK39"/>
  <c r="AT39" s="1"/>
  <c r="BL39" s="1"/>
  <c r="BT39" s="1"/>
  <c r="AM39"/>
  <c r="AV39" s="1"/>
  <c r="BN39" s="1"/>
  <c r="AO39"/>
  <c r="AX39" s="1"/>
  <c r="BP39" s="1"/>
  <c r="AL71"/>
  <c r="AU71" s="1"/>
  <c r="BM71" s="1"/>
  <c r="AN71"/>
  <c r="AW71" s="1"/>
  <c r="BO71" s="1"/>
  <c r="AP71"/>
  <c r="AY71" s="1"/>
  <c r="BQ71" s="1"/>
  <c r="AK72"/>
  <c r="AT72" s="1"/>
  <c r="BL72" s="1"/>
  <c r="BT72" s="1"/>
  <c r="AM72"/>
  <c r="AV72" s="1"/>
  <c r="BN72" s="1"/>
  <c r="AO72"/>
  <c r="AX72" s="1"/>
  <c r="BP72" s="1"/>
  <c r="AH73"/>
  <c r="AZ73" s="1"/>
  <c r="BR73" s="1"/>
  <c r="AL73"/>
  <c r="AU73" s="1"/>
  <c r="BM73" s="1"/>
  <c r="AN73"/>
  <c r="AW73" s="1"/>
  <c r="BO73" s="1"/>
  <c r="AP73"/>
  <c r="AY73" s="1"/>
  <c r="BQ73" s="1"/>
  <c r="AL78"/>
  <c r="AU78" s="1"/>
  <c r="BM78" s="1"/>
  <c r="AP78"/>
  <c r="AY78" s="1"/>
  <c r="BQ78" s="1"/>
  <c r="BN89"/>
  <c r="BT90"/>
  <c r="BT91"/>
  <c r="BT93"/>
  <c r="BT96"/>
  <c r="BA107"/>
  <c r="AZ108"/>
  <c r="BR108" s="1"/>
  <c r="BB108"/>
  <c r="BS108" s="1"/>
  <c r="AZ113"/>
  <c r="BR113" s="1"/>
  <c r="BB113"/>
  <c r="BS113" s="1"/>
  <c r="AZ115"/>
  <c r="BR115" s="1"/>
  <c r="BB115"/>
  <c r="BS115" s="1"/>
  <c r="BT133"/>
  <c r="BT134"/>
  <c r="AZ139"/>
  <c r="BR139" s="1"/>
  <c r="BT139" s="1"/>
  <c r="BB139"/>
  <c r="BS139" s="1"/>
  <c r="AZ145"/>
  <c r="BR145" s="1"/>
  <c r="BB145"/>
  <c r="BS145" s="1"/>
  <c r="AZ147"/>
  <c r="BR147" s="1"/>
  <c r="BB147"/>
  <c r="BS147" s="1"/>
  <c r="K190"/>
  <c r="BT170"/>
  <c r="BT171"/>
  <c r="BT177"/>
  <c r="BA179"/>
  <c r="AZ180"/>
  <c r="BR180" s="1"/>
  <c r="BB180"/>
  <c r="BS180" s="1"/>
  <c r="BA185"/>
  <c r="BA187"/>
  <c r="BT189"/>
  <c r="BT200"/>
  <c r="BT202"/>
  <c r="BT206"/>
  <c r="L91"/>
  <c r="L116" s="1"/>
  <c r="L92"/>
  <c r="L93"/>
  <c r="L94"/>
  <c r="AQ95"/>
  <c r="AZ95" s="1"/>
  <c r="BR95" s="1"/>
  <c r="BT95" s="1"/>
  <c r="AS95"/>
  <c r="BB95" s="1"/>
  <c r="BS95" s="1"/>
  <c r="L96"/>
  <c r="K97"/>
  <c r="AZ98"/>
  <c r="BR98" s="1"/>
  <c r="BT98" s="1"/>
  <c r="K99"/>
  <c r="AF99"/>
  <c r="AH99"/>
  <c r="AL99"/>
  <c r="AU99" s="1"/>
  <c r="BM99" s="1"/>
  <c r="AN99"/>
  <c r="AW99" s="1"/>
  <c r="BO99" s="1"/>
  <c r="AP99"/>
  <c r="AY99" s="1"/>
  <c r="BQ99" s="1"/>
  <c r="L103"/>
  <c r="AZ103"/>
  <c r="BR103" s="1"/>
  <c r="BT103" s="1"/>
  <c r="AZ104"/>
  <c r="BR104" s="1"/>
  <c r="BT104" s="1"/>
  <c r="L106"/>
  <c r="L107"/>
  <c r="AL107"/>
  <c r="AU107" s="1"/>
  <c r="BM107" s="1"/>
  <c r="AN107"/>
  <c r="AW107" s="1"/>
  <c r="BO107" s="1"/>
  <c r="AP107"/>
  <c r="AY107" s="1"/>
  <c r="BQ107" s="1"/>
  <c r="AZ107"/>
  <c r="BR107" s="1"/>
  <c r="AK108"/>
  <c r="AT108" s="1"/>
  <c r="BL108" s="1"/>
  <c r="BT108" s="1"/>
  <c r="AM108"/>
  <c r="AV108" s="1"/>
  <c r="BN108" s="1"/>
  <c r="AO108"/>
  <c r="AX108" s="1"/>
  <c r="BP108" s="1"/>
  <c r="BC108"/>
  <c r="L109"/>
  <c r="AL109"/>
  <c r="AU109" s="1"/>
  <c r="AN109"/>
  <c r="AW109" s="1"/>
  <c r="AP109"/>
  <c r="AY109" s="1"/>
  <c r="AZ109"/>
  <c r="BR109" s="1"/>
  <c r="BD109"/>
  <c r="BF109"/>
  <c r="BH109"/>
  <c r="AZ110"/>
  <c r="BR110" s="1"/>
  <c r="BT110" s="1"/>
  <c r="AZ111"/>
  <c r="BR111" s="1"/>
  <c r="BT111" s="1"/>
  <c r="AZ112"/>
  <c r="BR112" s="1"/>
  <c r="BT112" s="1"/>
  <c r="P113"/>
  <c r="R113"/>
  <c r="L114"/>
  <c r="AL114"/>
  <c r="AU114" s="1"/>
  <c r="BM114" s="1"/>
  <c r="AN114"/>
  <c r="AW114" s="1"/>
  <c r="BO114" s="1"/>
  <c r="AP114"/>
  <c r="AY114" s="1"/>
  <c r="BQ114" s="1"/>
  <c r="AZ114"/>
  <c r="BR114" s="1"/>
  <c r="AK115"/>
  <c r="AT115" s="1"/>
  <c r="BL115" s="1"/>
  <c r="BT115" s="1"/>
  <c r="AM115"/>
  <c r="AV115" s="1"/>
  <c r="BN115" s="1"/>
  <c r="AO115"/>
  <c r="AX115" s="1"/>
  <c r="BP115" s="1"/>
  <c r="AZ125"/>
  <c r="BR125" s="1"/>
  <c r="BT125"/>
  <c r="AZ126"/>
  <c r="BR126" s="1"/>
  <c r="BT126" s="1"/>
  <c r="AZ127"/>
  <c r="BR127" s="1"/>
  <c r="BT127" s="1"/>
  <c r="AZ128"/>
  <c r="BR128" s="1"/>
  <c r="BT128" s="1"/>
  <c r="AZ129"/>
  <c r="BR129" s="1"/>
  <c r="BT129" s="1"/>
  <c r="AZ130"/>
  <c r="BR130" s="1"/>
  <c r="BT130" s="1"/>
  <c r="AR131"/>
  <c r="BA131" s="1"/>
  <c r="AZ132"/>
  <c r="BR132" s="1"/>
  <c r="BT132" s="1"/>
  <c r="L134"/>
  <c r="K136"/>
  <c r="AF136"/>
  <c r="AH136"/>
  <c r="AL136"/>
  <c r="AU136" s="1"/>
  <c r="BM136" s="1"/>
  <c r="AN136"/>
  <c r="AW136" s="1"/>
  <c r="BO136" s="1"/>
  <c r="AP136"/>
  <c r="AY136" s="1"/>
  <c r="BQ136" s="1"/>
  <c r="L140"/>
  <c r="K141"/>
  <c r="AF141"/>
  <c r="AH141"/>
  <c r="AL141"/>
  <c r="AU141" s="1"/>
  <c r="BM141" s="1"/>
  <c r="AN141"/>
  <c r="AW141" s="1"/>
  <c r="BO141" s="1"/>
  <c r="AP141"/>
  <c r="AY141" s="1"/>
  <c r="BQ141" s="1"/>
  <c r="AZ142"/>
  <c r="BR142" s="1"/>
  <c r="BT142" s="1"/>
  <c r="AL143"/>
  <c r="AU143" s="1"/>
  <c r="AN143"/>
  <c r="AW143" s="1"/>
  <c r="AP143"/>
  <c r="AY143" s="1"/>
  <c r="AZ143"/>
  <c r="BR143" s="1"/>
  <c r="BD143"/>
  <c r="BF143"/>
  <c r="BH143"/>
  <c r="AZ144"/>
  <c r="BR144" s="1"/>
  <c r="BT144" s="1"/>
  <c r="AK145"/>
  <c r="AT145" s="1"/>
  <c r="BL145" s="1"/>
  <c r="AM145"/>
  <c r="AV145" s="1"/>
  <c r="BN145" s="1"/>
  <c r="AO145"/>
  <c r="AX145" s="1"/>
  <c r="BP145" s="1"/>
  <c r="L146"/>
  <c r="AL146"/>
  <c r="AU146" s="1"/>
  <c r="BM146" s="1"/>
  <c r="AN146"/>
  <c r="AW146" s="1"/>
  <c r="BO146" s="1"/>
  <c r="AP146"/>
  <c r="AY146" s="1"/>
  <c r="BQ146" s="1"/>
  <c r="AZ146"/>
  <c r="BR146" s="1"/>
  <c r="AK147"/>
  <c r="AT147" s="1"/>
  <c r="BL147" s="1"/>
  <c r="BT147" s="1"/>
  <c r="AM147"/>
  <c r="AV147" s="1"/>
  <c r="BN147" s="1"/>
  <c r="AO147"/>
  <c r="AX147" s="1"/>
  <c r="BP147" s="1"/>
  <c r="AZ162"/>
  <c r="BR162" s="1"/>
  <c r="BT162" s="1"/>
  <c r="AZ163"/>
  <c r="BR163" s="1"/>
  <c r="BT163" s="1"/>
  <c r="AZ164"/>
  <c r="BR164" s="1"/>
  <c r="BT164" s="1"/>
  <c r="AZ165"/>
  <c r="BR165" s="1"/>
  <c r="BT165" s="1"/>
  <c r="AZ166"/>
  <c r="BR166" s="1"/>
  <c r="BT166" s="1"/>
  <c r="AZ167"/>
  <c r="BR167" s="1"/>
  <c r="BT167" s="1"/>
  <c r="AR168"/>
  <c r="BA168" s="1"/>
  <c r="AZ169"/>
  <c r="BR169" s="1"/>
  <c r="BT169" s="1"/>
  <c r="L171"/>
  <c r="L176"/>
  <c r="L177"/>
  <c r="L178"/>
  <c r="L179"/>
  <c r="AL179"/>
  <c r="AU179" s="1"/>
  <c r="BM179" s="1"/>
  <c r="AN179"/>
  <c r="AW179" s="1"/>
  <c r="BO179" s="1"/>
  <c r="AP179"/>
  <c r="AY179" s="1"/>
  <c r="BQ179" s="1"/>
  <c r="AZ179"/>
  <c r="BR179" s="1"/>
  <c r="AK180"/>
  <c r="AT180" s="1"/>
  <c r="BL180" s="1"/>
  <c r="BT180" s="1"/>
  <c r="AM180"/>
  <c r="AV180" s="1"/>
  <c r="BN180" s="1"/>
  <c r="AO180"/>
  <c r="AX180" s="1"/>
  <c r="BP180" s="1"/>
  <c r="BC180"/>
  <c r="L181"/>
  <c r="AL181"/>
  <c r="AU181" s="1"/>
  <c r="AN181"/>
  <c r="AW181" s="1"/>
  <c r="AP181"/>
  <c r="AY181" s="1"/>
  <c r="AZ181"/>
  <c r="BR181" s="1"/>
  <c r="BD181"/>
  <c r="BF181"/>
  <c r="BH181"/>
  <c r="AZ182"/>
  <c r="BR182" s="1"/>
  <c r="BT182" s="1"/>
  <c r="AZ183"/>
  <c r="BR183" s="1"/>
  <c r="BT183" s="1"/>
  <c r="AZ184"/>
  <c r="BR184" s="1"/>
  <c r="BT184" s="1"/>
  <c r="AM185"/>
  <c r="AV185" s="1"/>
  <c r="BN185" s="1"/>
  <c r="AO185"/>
  <c r="AX185" s="1"/>
  <c r="BP185" s="1"/>
  <c r="L186"/>
  <c r="AL186"/>
  <c r="AU186" s="1"/>
  <c r="BM186" s="1"/>
  <c r="AN186"/>
  <c r="AW186" s="1"/>
  <c r="BO186" s="1"/>
  <c r="AP186"/>
  <c r="AY186" s="1"/>
  <c r="BQ186" s="1"/>
  <c r="AZ186"/>
  <c r="BR186" s="1"/>
  <c r="AK187"/>
  <c r="AT187" s="1"/>
  <c r="BL187" s="1"/>
  <c r="BT187" s="1"/>
  <c r="AM187"/>
  <c r="AV187" s="1"/>
  <c r="BN187" s="1"/>
  <c r="AO187"/>
  <c r="AX187" s="1"/>
  <c r="BP187" s="1"/>
  <c r="L188"/>
  <c r="L189"/>
  <c r="L199"/>
  <c r="L200"/>
  <c r="L201"/>
  <c r="L202"/>
  <c r="L203"/>
  <c r="L206"/>
  <c r="L207"/>
  <c r="AZ208"/>
  <c r="BR208" s="1"/>
  <c r="BB208"/>
  <c r="BS208" s="1"/>
  <c r="AZ210"/>
  <c r="BR210" s="1"/>
  <c r="BB210"/>
  <c r="BS210" s="1"/>
  <c r="AL79"/>
  <c r="AU79" s="1"/>
  <c r="BM79" s="1"/>
  <c r="AN79"/>
  <c r="AW79" s="1"/>
  <c r="BO79" s="1"/>
  <c r="AP79"/>
  <c r="AY79" s="1"/>
  <c r="BQ79" s="1"/>
  <c r="K89"/>
  <c r="AF89"/>
  <c r="BA89" s="1"/>
  <c r="AH89"/>
  <c r="AL89"/>
  <c r="AU89" s="1"/>
  <c r="BM89" s="1"/>
  <c r="AN89"/>
  <c r="AW89" s="1"/>
  <c r="BO89" s="1"/>
  <c r="AQ97"/>
  <c r="AZ97" s="1"/>
  <c r="BR97" s="1"/>
  <c r="AG99"/>
  <c r="AK99"/>
  <c r="AT99" s="1"/>
  <c r="BL99" s="1"/>
  <c r="AM99"/>
  <c r="AV99" s="1"/>
  <c r="BN99" s="1"/>
  <c r="K100"/>
  <c r="AF100"/>
  <c r="AH100"/>
  <c r="AL100"/>
  <c r="AU100" s="1"/>
  <c r="BM100" s="1"/>
  <c r="AN100"/>
  <c r="AW100" s="1"/>
  <c r="BO100" s="1"/>
  <c r="K105"/>
  <c r="AF105"/>
  <c r="BA105" s="1"/>
  <c r="AH105"/>
  <c r="AL105"/>
  <c r="AU105" s="1"/>
  <c r="BM105" s="1"/>
  <c r="AN105"/>
  <c r="AW105" s="1"/>
  <c r="BO105" s="1"/>
  <c r="AK107"/>
  <c r="AT107" s="1"/>
  <c r="BL107" s="1"/>
  <c r="BT107" s="1"/>
  <c r="AM107"/>
  <c r="AV107" s="1"/>
  <c r="BN107" s="1"/>
  <c r="AO107"/>
  <c r="AX107" s="1"/>
  <c r="BP107" s="1"/>
  <c r="AL108"/>
  <c r="AU108" s="1"/>
  <c r="BM108" s="1"/>
  <c r="AN108"/>
  <c r="AW108" s="1"/>
  <c r="BO108" s="1"/>
  <c r="AP108"/>
  <c r="AY108" s="1"/>
  <c r="BQ108" s="1"/>
  <c r="AM109"/>
  <c r="AV109" s="1"/>
  <c r="BN109" s="1"/>
  <c r="AO109"/>
  <c r="AX109" s="1"/>
  <c r="BP109" s="1"/>
  <c r="AK114"/>
  <c r="AT114" s="1"/>
  <c r="BL114" s="1"/>
  <c r="BT114" s="1"/>
  <c r="AM114"/>
  <c r="AV114" s="1"/>
  <c r="BN114" s="1"/>
  <c r="AO114"/>
  <c r="AX114" s="1"/>
  <c r="BP114" s="1"/>
  <c r="AL115"/>
  <c r="AU115" s="1"/>
  <c r="BM115" s="1"/>
  <c r="AN115"/>
  <c r="AW115" s="1"/>
  <c r="BO115" s="1"/>
  <c r="AP115"/>
  <c r="AY115" s="1"/>
  <c r="BQ115" s="1"/>
  <c r="AQ131"/>
  <c r="AZ131" s="1"/>
  <c r="BR131" s="1"/>
  <c r="K135"/>
  <c r="AF135"/>
  <c r="BA135" s="1"/>
  <c r="AH135"/>
  <c r="AL135"/>
  <c r="AU135" s="1"/>
  <c r="BM135" s="1"/>
  <c r="AN135"/>
  <c r="AW135" s="1"/>
  <c r="BO135" s="1"/>
  <c r="AG136"/>
  <c r="AK136"/>
  <c r="AT136" s="1"/>
  <c r="BL136" s="1"/>
  <c r="AM136"/>
  <c r="AV136" s="1"/>
  <c r="BN136" s="1"/>
  <c r="AG141"/>
  <c r="AK141"/>
  <c r="AT141" s="1"/>
  <c r="BL141" s="1"/>
  <c r="AM141"/>
  <c r="AV141" s="1"/>
  <c r="BN141" s="1"/>
  <c r="AM143"/>
  <c r="AV143" s="1"/>
  <c r="BN143" s="1"/>
  <c r="AO143"/>
  <c r="AX143" s="1"/>
  <c r="BP143" s="1"/>
  <c r="AK146"/>
  <c r="AT146" s="1"/>
  <c r="BL146" s="1"/>
  <c r="BT146" s="1"/>
  <c r="AM146"/>
  <c r="AV146" s="1"/>
  <c r="BN146" s="1"/>
  <c r="AO146"/>
  <c r="AX146" s="1"/>
  <c r="BP146" s="1"/>
  <c r="AL147"/>
  <c r="AU147" s="1"/>
  <c r="BM147" s="1"/>
  <c r="AN147"/>
  <c r="AW147" s="1"/>
  <c r="BO147" s="1"/>
  <c r="AP147"/>
  <c r="AY147" s="1"/>
  <c r="BQ147" s="1"/>
  <c r="AQ168"/>
  <c r="AZ168" s="1"/>
  <c r="BR168" s="1"/>
  <c r="AH175"/>
  <c r="BB175" s="1"/>
  <c r="BS175" s="1"/>
  <c r="AK179"/>
  <c r="AT179" s="1"/>
  <c r="BL179" s="1"/>
  <c r="BT179" s="1"/>
  <c r="AM179"/>
  <c r="AV179" s="1"/>
  <c r="BN179" s="1"/>
  <c r="AO179"/>
  <c r="AX179" s="1"/>
  <c r="BP179" s="1"/>
  <c r="AL180"/>
  <c r="AU180" s="1"/>
  <c r="BM180" s="1"/>
  <c r="AN180"/>
  <c r="AW180" s="1"/>
  <c r="BO180" s="1"/>
  <c r="AP180"/>
  <c r="AY180" s="1"/>
  <c r="BQ180" s="1"/>
  <c r="AM181"/>
  <c r="AV181" s="1"/>
  <c r="BN181" s="1"/>
  <c r="AO181"/>
  <c r="AX181" s="1"/>
  <c r="BP181" s="1"/>
  <c r="AK186"/>
  <c r="AT186" s="1"/>
  <c r="BL186" s="1"/>
  <c r="BT186" s="1"/>
  <c r="AM186"/>
  <c r="AV186" s="1"/>
  <c r="BN186" s="1"/>
  <c r="AO186"/>
  <c r="AX186" s="1"/>
  <c r="BP186" s="1"/>
  <c r="AL187"/>
  <c r="AU187" s="1"/>
  <c r="BM187" s="1"/>
  <c r="AN187"/>
  <c r="AW187" s="1"/>
  <c r="BO187" s="1"/>
  <c r="AP187"/>
  <c r="AY187" s="1"/>
  <c r="BQ187" s="1"/>
  <c r="BT208"/>
  <c r="L209"/>
  <c r="BL209"/>
  <c r="BT209" s="1"/>
  <c r="BN209"/>
  <c r="BP209"/>
  <c r="AZ209"/>
  <c r="BR209" s="1"/>
  <c r="BB209"/>
  <c r="BS209" s="1"/>
  <c r="BT210"/>
  <c r="L211"/>
  <c r="BL211"/>
  <c r="BT211" s="1"/>
  <c r="BN211"/>
  <c r="BP211"/>
  <c r="AZ211"/>
  <c r="BR211" s="1"/>
  <c r="BB211"/>
  <c r="BS211" s="1"/>
  <c r="L239"/>
  <c r="L317"/>
  <c r="K213"/>
  <c r="BT213" s="1"/>
  <c r="K214"/>
  <c r="BT214" s="1"/>
  <c r="K223"/>
  <c r="K224"/>
  <c r="BT224" s="1"/>
  <c r="K225"/>
  <c r="BT225" s="1"/>
  <c r="K226"/>
  <c r="BT226" s="1"/>
  <c r="K227"/>
  <c r="BT227" s="1"/>
  <c r="K230"/>
  <c r="BT230" s="1"/>
  <c r="K231"/>
  <c r="BT231" s="1"/>
  <c r="K232"/>
  <c r="BT232" s="1"/>
  <c r="K233"/>
  <c r="BT233" s="1"/>
  <c r="K234"/>
  <c r="BT234" s="1"/>
  <c r="K235"/>
  <c r="BT235" s="1"/>
  <c r="K237"/>
  <c r="BT237" s="1"/>
  <c r="K238"/>
  <c r="BT238" s="1"/>
  <c r="K247"/>
  <c r="K248"/>
  <c r="BT248" s="1"/>
  <c r="K249"/>
  <c r="BT249" s="1"/>
  <c r="K250"/>
  <c r="BT250" s="1"/>
  <c r="K251"/>
  <c r="BT251" s="1"/>
  <c r="K254"/>
  <c r="BT254" s="1"/>
  <c r="K255"/>
  <c r="BT255" s="1"/>
  <c r="K256"/>
  <c r="BT256" s="1"/>
  <c r="K257"/>
  <c r="BT257" s="1"/>
  <c r="K258"/>
  <c r="BT258" s="1"/>
  <c r="K259"/>
  <c r="BT259" s="1"/>
  <c r="K261"/>
  <c r="BT261" s="1"/>
  <c r="K262"/>
  <c r="BT262" s="1"/>
  <c r="K290"/>
  <c r="K298"/>
  <c r="K299"/>
  <c r="BT299" s="1"/>
  <c r="K300"/>
  <c r="BT300" s="1"/>
  <c r="K301"/>
  <c r="BT301" s="1"/>
  <c r="K302"/>
  <c r="BT302" s="1"/>
  <c r="K305"/>
  <c r="BT305" s="1"/>
  <c r="K306"/>
  <c r="BT306" s="1"/>
  <c r="K307"/>
  <c r="BT307" s="1"/>
  <c r="K308"/>
  <c r="BT308" s="1"/>
  <c r="K309"/>
  <c r="BT309" s="1"/>
  <c r="K310"/>
  <c r="BT310" s="1"/>
  <c r="K311"/>
  <c r="BT311" s="1"/>
  <c r="K313"/>
  <c r="BT313" s="1"/>
  <c r="K314"/>
  <c r="BT314" s="1"/>
  <c r="K315"/>
  <c r="BT315" s="1"/>
  <c r="K316"/>
  <c r="BT316" s="1"/>
  <c r="K344"/>
  <c r="K352"/>
  <c r="L354"/>
  <c r="L371" s="1"/>
  <c r="BL354"/>
  <c r="BN354"/>
  <c r="BP354"/>
  <c r="AZ354"/>
  <c r="BR354" s="1"/>
  <c r="BB354"/>
  <c r="BS354" s="1"/>
  <c r="L356"/>
  <c r="BL356"/>
  <c r="BN356"/>
  <c r="BP356"/>
  <c r="AZ356"/>
  <c r="BR356" s="1"/>
  <c r="BB356"/>
  <c r="BS356" s="1"/>
  <c r="AZ271"/>
  <c r="BR271" s="1"/>
  <c r="BT271" s="1"/>
  <c r="AZ272"/>
  <c r="BR272" s="1"/>
  <c r="BT272" s="1"/>
  <c r="AZ273"/>
  <c r="BR273" s="1"/>
  <c r="BT273" s="1"/>
  <c r="AZ274"/>
  <c r="BR274" s="1"/>
  <c r="BT274" s="1"/>
  <c r="AZ275"/>
  <c r="BR275" s="1"/>
  <c r="BT275" s="1"/>
  <c r="AZ278"/>
  <c r="BR278" s="1"/>
  <c r="BT278" s="1"/>
  <c r="AZ279"/>
  <c r="BR279" s="1"/>
  <c r="BT279" s="1"/>
  <c r="AZ280"/>
  <c r="BR280" s="1"/>
  <c r="BT280" s="1"/>
  <c r="AZ281"/>
  <c r="BR281" s="1"/>
  <c r="BT281" s="1"/>
  <c r="AZ282"/>
  <c r="BR282" s="1"/>
  <c r="BT282" s="1"/>
  <c r="AZ283"/>
  <c r="BR283" s="1"/>
  <c r="BT283" s="1"/>
  <c r="AZ284"/>
  <c r="BR284" s="1"/>
  <c r="BT284" s="1"/>
  <c r="AZ286"/>
  <c r="BR286" s="1"/>
  <c r="BT286" s="1"/>
  <c r="AZ287"/>
  <c r="BR287" s="1"/>
  <c r="BT287" s="1"/>
  <c r="AZ288"/>
  <c r="BR288" s="1"/>
  <c r="BT288" s="1"/>
  <c r="AZ289"/>
  <c r="BR289" s="1"/>
  <c r="BT289" s="1"/>
  <c r="AZ325"/>
  <c r="BR325" s="1"/>
  <c r="BT325" s="1"/>
  <c r="AZ326"/>
  <c r="BR326" s="1"/>
  <c r="BT326" s="1"/>
  <c r="AZ327"/>
  <c r="BR327" s="1"/>
  <c r="BT327" s="1"/>
  <c r="AZ328"/>
  <c r="BR328" s="1"/>
  <c r="BT328" s="1"/>
  <c r="AZ329"/>
  <c r="BR329" s="1"/>
  <c r="BT329" s="1"/>
  <c r="AZ332"/>
  <c r="BR332" s="1"/>
  <c r="BT332" s="1"/>
  <c r="AZ333"/>
  <c r="BR333" s="1"/>
  <c r="BT333" s="1"/>
  <c r="AZ334"/>
  <c r="BR334" s="1"/>
  <c r="BT334" s="1"/>
  <c r="AZ335"/>
  <c r="BR335" s="1"/>
  <c r="BT335" s="1"/>
  <c r="AZ336"/>
  <c r="BR336" s="1"/>
  <c r="BT336" s="1"/>
  <c r="AZ337"/>
  <c r="BR337" s="1"/>
  <c r="BT337" s="1"/>
  <c r="AZ338"/>
  <c r="BR338" s="1"/>
  <c r="BT338" s="1"/>
  <c r="AZ340"/>
  <c r="BR340" s="1"/>
  <c r="BT340" s="1"/>
  <c r="AZ341"/>
  <c r="BR341" s="1"/>
  <c r="BT341" s="1"/>
  <c r="AZ342"/>
  <c r="BR342" s="1"/>
  <c r="BT342" s="1"/>
  <c r="AZ343"/>
  <c r="BR343" s="1"/>
  <c r="BT343" s="1"/>
  <c r="AZ353"/>
  <c r="BR353" s="1"/>
  <c r="BT353" s="1"/>
  <c r="BB353"/>
  <c r="BS353" s="1"/>
  <c r="BT354"/>
  <c r="AZ355"/>
  <c r="BR355" s="1"/>
  <c r="BT355" s="1"/>
  <c r="BB355"/>
  <c r="BS355" s="1"/>
  <c r="BT356"/>
  <c r="AZ359"/>
  <c r="BR359" s="1"/>
  <c r="BT359" s="1"/>
  <c r="BB359"/>
  <c r="BS359" s="1"/>
  <c r="BT460"/>
  <c r="K479"/>
  <c r="K360"/>
  <c r="BT360" s="1"/>
  <c r="K361"/>
  <c r="BT361" s="1"/>
  <c r="K362"/>
  <c r="BT362" s="1"/>
  <c r="K363"/>
  <c r="BT363" s="1"/>
  <c r="K364"/>
  <c r="BT364" s="1"/>
  <c r="K365"/>
  <c r="BT365" s="1"/>
  <c r="K367"/>
  <c r="BT367" s="1"/>
  <c r="K368"/>
  <c r="BT368" s="1"/>
  <c r="K369"/>
  <c r="BT369" s="1"/>
  <c r="K370"/>
  <c r="BT370" s="1"/>
  <c r="K398"/>
  <c r="K406"/>
  <c r="K407"/>
  <c r="BT407" s="1"/>
  <c r="K408"/>
  <c r="BT408" s="1"/>
  <c r="K409"/>
  <c r="BT409" s="1"/>
  <c r="K410"/>
  <c r="BT410" s="1"/>
  <c r="K413"/>
  <c r="BT413" s="1"/>
  <c r="K414"/>
  <c r="BT414" s="1"/>
  <c r="K415"/>
  <c r="BT415" s="1"/>
  <c r="K416"/>
  <c r="BT416" s="1"/>
  <c r="K417"/>
  <c r="BT417" s="1"/>
  <c r="K418"/>
  <c r="BT418" s="1"/>
  <c r="K419"/>
  <c r="BT419" s="1"/>
  <c r="K421"/>
  <c r="BT421" s="1"/>
  <c r="K422"/>
  <c r="BT422" s="1"/>
  <c r="K423"/>
  <c r="L424"/>
  <c r="L425" s="1"/>
  <c r="BL424"/>
  <c r="BN424"/>
  <c r="BP424"/>
  <c r="AZ424"/>
  <c r="BR424" s="1"/>
  <c r="BB424"/>
  <c r="BS424" s="1"/>
  <c r="L452"/>
  <c r="BA433"/>
  <c r="BT462"/>
  <c r="BT464"/>
  <c r="BT468"/>
  <c r="BT470"/>
  <c r="BT472"/>
  <c r="BT475"/>
  <c r="BT477"/>
  <c r="K452"/>
  <c r="BT433"/>
  <c r="AZ379"/>
  <c r="BR379" s="1"/>
  <c r="BT379" s="1"/>
  <c r="AZ380"/>
  <c r="BR380" s="1"/>
  <c r="BT380" s="1"/>
  <c r="AZ381"/>
  <c r="BR381" s="1"/>
  <c r="BT381" s="1"/>
  <c r="AZ382"/>
  <c r="BR382" s="1"/>
  <c r="BT382" s="1"/>
  <c r="AZ383"/>
  <c r="BR383" s="1"/>
  <c r="BT383" s="1"/>
  <c r="AZ386"/>
  <c r="BR386" s="1"/>
  <c r="BT386" s="1"/>
  <c r="AZ387"/>
  <c r="BR387" s="1"/>
  <c r="BT387" s="1"/>
  <c r="AZ388"/>
  <c r="BR388" s="1"/>
  <c r="BT388" s="1"/>
  <c r="AZ389"/>
  <c r="BR389" s="1"/>
  <c r="BT389" s="1"/>
  <c r="AZ390"/>
  <c r="BR390" s="1"/>
  <c r="BT390" s="1"/>
  <c r="AZ391"/>
  <c r="BR391" s="1"/>
  <c r="BT391" s="1"/>
  <c r="AZ392"/>
  <c r="BR392" s="1"/>
  <c r="BT392" s="1"/>
  <c r="AZ394"/>
  <c r="BR394" s="1"/>
  <c r="BT394" s="1"/>
  <c r="AZ395"/>
  <c r="BR395" s="1"/>
  <c r="BT395" s="1"/>
  <c r="AZ396"/>
  <c r="BR396" s="1"/>
  <c r="BT396" s="1"/>
  <c r="AZ397"/>
  <c r="BR397" s="1"/>
  <c r="BT397" s="1"/>
  <c r="AZ423"/>
  <c r="BR423" s="1"/>
  <c r="BB423"/>
  <c r="BS423" s="1"/>
  <c r="BT424"/>
  <c r="AZ434"/>
  <c r="BR434" s="1"/>
  <c r="BT434" s="1"/>
  <c r="AZ435"/>
  <c r="BR435" s="1"/>
  <c r="BT435" s="1"/>
  <c r="AZ436"/>
  <c r="BR436" s="1"/>
  <c r="BT436" s="1"/>
  <c r="AZ437"/>
  <c r="BR437" s="1"/>
  <c r="BT437" s="1"/>
  <c r="AZ440"/>
  <c r="BR440" s="1"/>
  <c r="BT440" s="1"/>
  <c r="AZ441"/>
  <c r="BR441" s="1"/>
  <c r="BT441" s="1"/>
  <c r="AZ442"/>
  <c r="BR442" s="1"/>
  <c r="BT442" s="1"/>
  <c r="AZ443"/>
  <c r="BR443" s="1"/>
  <c r="BT443" s="1"/>
  <c r="AZ444"/>
  <c r="BR444" s="1"/>
  <c r="BT444" s="1"/>
  <c r="AZ445"/>
  <c r="BR445" s="1"/>
  <c r="BT445" s="1"/>
  <c r="AZ446"/>
  <c r="BR446" s="1"/>
  <c r="BT446" s="1"/>
  <c r="AZ448"/>
  <c r="BR448" s="1"/>
  <c r="BT448" s="1"/>
  <c r="AZ449"/>
  <c r="BR449" s="1"/>
  <c r="BT449" s="1"/>
  <c r="AZ450"/>
  <c r="BR450" s="1"/>
  <c r="BT450" s="1"/>
  <c r="AZ451"/>
  <c r="BR451" s="1"/>
  <c r="BT451" s="1"/>
  <c r="L460"/>
  <c r="L461"/>
  <c r="L462"/>
  <c r="L463"/>
  <c r="L464"/>
  <c r="L467"/>
  <c r="L468"/>
  <c r="L469"/>
  <c r="L470"/>
  <c r="L471"/>
  <c r="L472"/>
  <c r="L473"/>
  <c r="L475"/>
  <c r="L476"/>
  <c r="L477"/>
  <c r="L478"/>
  <c r="AZ487"/>
  <c r="BR487" s="1"/>
  <c r="BT487" s="1"/>
  <c r="AZ488"/>
  <c r="BR488" s="1"/>
  <c r="BT488" s="1"/>
  <c r="AZ489"/>
  <c r="BR489" s="1"/>
  <c r="BT489" s="1"/>
  <c r="AZ490"/>
  <c r="BR490" s="1"/>
  <c r="BT490" s="1"/>
  <c r="AZ491"/>
  <c r="BR491" s="1"/>
  <c r="BT491" s="1"/>
  <c r="AZ494"/>
  <c r="BR494" s="1"/>
  <c r="BT494" s="1"/>
  <c r="AZ495"/>
  <c r="BR495" s="1"/>
  <c r="BB495"/>
  <c r="BS495" s="1"/>
  <c r="BT495"/>
  <c r="BA495"/>
  <c r="L496"/>
  <c r="L506" s="1"/>
  <c r="L497"/>
  <c r="L498"/>
  <c r="L499"/>
  <c r="L500"/>
  <c r="L502"/>
  <c r="L503"/>
  <c r="L504"/>
  <c r="L505"/>
  <c r="K514"/>
  <c r="K515"/>
  <c r="BT515" s="1"/>
  <c r="K516"/>
  <c r="BT516" s="1"/>
  <c r="K517"/>
  <c r="BT517" s="1"/>
  <c r="K518"/>
  <c r="BT518" s="1"/>
  <c r="AZ521"/>
  <c r="BR521" s="1"/>
  <c r="BT521" s="1"/>
  <c r="AZ522"/>
  <c r="BR522" s="1"/>
  <c r="BT522" s="1"/>
  <c r="AZ523"/>
  <c r="BR523" s="1"/>
  <c r="BT523" s="1"/>
  <c r="AZ524"/>
  <c r="BR524" s="1"/>
  <c r="BT524" s="1"/>
  <c r="AZ525"/>
  <c r="BR525" s="1"/>
  <c r="BT525" s="1"/>
  <c r="AZ526"/>
  <c r="BR526" s="1"/>
  <c r="BT526" s="1"/>
  <c r="AZ527"/>
  <c r="BR527" s="1"/>
  <c r="BT527" s="1"/>
  <c r="AZ529"/>
  <c r="BR529" s="1"/>
  <c r="BT529" s="1"/>
  <c r="AZ530"/>
  <c r="BR530" s="1"/>
  <c r="BT530" s="1"/>
  <c r="AZ531"/>
  <c r="BR531" s="1"/>
  <c r="BT531" s="1"/>
  <c r="AZ532"/>
  <c r="BR532" s="1"/>
  <c r="BT532" s="1"/>
  <c r="X11" i="20"/>
  <c r="J12"/>
  <c r="W12"/>
  <c r="AA12"/>
  <c r="AF12" s="1"/>
  <c r="AP12" s="1"/>
  <c r="V13"/>
  <c r="AH13" s="1"/>
  <c r="AR13" s="1"/>
  <c r="AU13" s="1"/>
  <c r="X13"/>
  <c r="J14"/>
  <c r="W14"/>
  <c r="AA14"/>
  <c r="AF14" s="1"/>
  <c r="AP14" s="1"/>
  <c r="I15"/>
  <c r="V15"/>
  <c r="AH15" s="1"/>
  <c r="AR15" s="1"/>
  <c r="X15"/>
  <c r="J16"/>
  <c r="W16"/>
  <c r="AH16" s="1"/>
  <c r="AR16" s="1"/>
  <c r="AA16"/>
  <c r="AF16" s="1"/>
  <c r="AP16" s="1"/>
  <c r="AU16" s="1"/>
  <c r="I17"/>
  <c r="V17"/>
  <c r="AH17" s="1"/>
  <c r="AR17" s="1"/>
  <c r="X17"/>
  <c r="J18"/>
  <c r="W18"/>
  <c r="AA18"/>
  <c r="AF18" s="1"/>
  <c r="AP18" s="1"/>
  <c r="I19"/>
  <c r="V19"/>
  <c r="AH19" s="1"/>
  <c r="AR19" s="1"/>
  <c r="X19"/>
  <c r="J20"/>
  <c r="W20"/>
  <c r="AA20"/>
  <c r="AF20" s="1"/>
  <c r="AP20" s="1"/>
  <c r="J27"/>
  <c r="W27"/>
  <c r="AH27" s="1"/>
  <c r="AR27" s="1"/>
  <c r="AA27"/>
  <c r="AF27" s="1"/>
  <c r="AP27" s="1"/>
  <c r="V28"/>
  <c r="AH28" s="1"/>
  <c r="AR28" s="1"/>
  <c r="AU28" s="1"/>
  <c r="X28"/>
  <c r="J29"/>
  <c r="W29"/>
  <c r="AA29"/>
  <c r="AF29" s="1"/>
  <c r="AP29" s="1"/>
  <c r="I30"/>
  <c r="V30"/>
  <c r="AH30" s="1"/>
  <c r="AR30" s="1"/>
  <c r="X30"/>
  <c r="J31"/>
  <c r="W31"/>
  <c r="AA31"/>
  <c r="AF31" s="1"/>
  <c r="AP31" s="1"/>
  <c r="X32"/>
  <c r="J33"/>
  <c r="W33"/>
  <c r="AA33"/>
  <c r="AF33" s="1"/>
  <c r="AP33" s="1"/>
  <c r="J35"/>
  <c r="W35"/>
  <c r="AA35"/>
  <c r="AF35" s="1"/>
  <c r="AP35" s="1"/>
  <c r="J44"/>
  <c r="W44"/>
  <c r="AA44"/>
  <c r="AF44" s="1"/>
  <c r="AP44" s="1"/>
  <c r="J46"/>
  <c r="W46"/>
  <c r="AA46"/>
  <c r="AF46" s="1"/>
  <c r="AP46" s="1"/>
  <c r="J48"/>
  <c r="W48"/>
  <c r="AA48"/>
  <c r="AF48" s="1"/>
  <c r="AP48" s="1"/>
  <c r="J50"/>
  <c r="W50"/>
  <c r="AA50"/>
  <c r="AF50" s="1"/>
  <c r="AP50" s="1"/>
  <c r="J11"/>
  <c r="W11"/>
  <c r="AH11" s="1"/>
  <c r="AR11" s="1"/>
  <c r="AU11" s="1"/>
  <c r="I12"/>
  <c r="V12"/>
  <c r="AH12" s="1"/>
  <c r="AR12" s="1"/>
  <c r="J13"/>
  <c r="W13"/>
  <c r="I14"/>
  <c r="V14"/>
  <c r="AH14" s="1"/>
  <c r="AR14" s="1"/>
  <c r="J15"/>
  <c r="W15"/>
  <c r="J17"/>
  <c r="W17"/>
  <c r="V18"/>
  <c r="AH18" s="1"/>
  <c r="AR18" s="1"/>
  <c r="J19"/>
  <c r="W19"/>
  <c r="I20"/>
  <c r="V20"/>
  <c r="AH20" s="1"/>
  <c r="AR20" s="1"/>
  <c r="J28"/>
  <c r="W28"/>
  <c r="I29"/>
  <c r="V29"/>
  <c r="AH29" s="1"/>
  <c r="AR29" s="1"/>
  <c r="J30"/>
  <c r="W30"/>
  <c r="I31"/>
  <c r="V31"/>
  <c r="AH31" s="1"/>
  <c r="AR31" s="1"/>
  <c r="J32"/>
  <c r="W32"/>
  <c r="AH32" s="1"/>
  <c r="AR32" s="1"/>
  <c r="AU32" s="1"/>
  <c r="I33"/>
  <c r="V33"/>
  <c r="AH33" s="1"/>
  <c r="AR33" s="1"/>
  <c r="J34"/>
  <c r="W34"/>
  <c r="AH34" s="1"/>
  <c r="AR34" s="1"/>
  <c r="AU34" s="1"/>
  <c r="I35"/>
  <c r="V35"/>
  <c r="AH35" s="1"/>
  <c r="AR35" s="1"/>
  <c r="I44"/>
  <c r="V44"/>
  <c r="AH44" s="1"/>
  <c r="AR44" s="1"/>
  <c r="J45"/>
  <c r="W45"/>
  <c r="AH45" s="1"/>
  <c r="AR45" s="1"/>
  <c r="AU45" s="1"/>
  <c r="I46"/>
  <c r="V46"/>
  <c r="AH46" s="1"/>
  <c r="AR46" s="1"/>
  <c r="J47"/>
  <c r="W47"/>
  <c r="AH47" s="1"/>
  <c r="AR47" s="1"/>
  <c r="AU47" s="1"/>
  <c r="I48"/>
  <c r="V48"/>
  <c r="AH48" s="1"/>
  <c r="AR48" s="1"/>
  <c r="J49"/>
  <c r="W49"/>
  <c r="AH49" s="1"/>
  <c r="AR49" s="1"/>
  <c r="AU49" s="1"/>
  <c r="I50"/>
  <c r="V50"/>
  <c r="AH50" s="1"/>
  <c r="AR50" s="1"/>
  <c r="J51"/>
  <c r="W51"/>
  <c r="AH51" s="1"/>
  <c r="AR51" s="1"/>
  <c r="AU51" s="1"/>
  <c r="AG183"/>
  <c r="AG193" s="1"/>
  <c r="AQ173"/>
  <c r="AQ183" s="1"/>
  <c r="AQ193" s="1"/>
  <c r="J52"/>
  <c r="W52"/>
  <c r="AH52" s="1"/>
  <c r="AR52" s="1"/>
  <c r="AU52" s="1"/>
  <c r="J60"/>
  <c r="W60"/>
  <c r="AH60" s="1"/>
  <c r="AR60" s="1"/>
  <c r="AU60" s="1"/>
  <c r="I61"/>
  <c r="V61"/>
  <c r="AH61" s="1"/>
  <c r="AR61" s="1"/>
  <c r="X61"/>
  <c r="J62"/>
  <c r="W62"/>
  <c r="AH62" s="1"/>
  <c r="AR62" s="1"/>
  <c r="AU62" s="1"/>
  <c r="I63"/>
  <c r="V63"/>
  <c r="AH63" s="1"/>
  <c r="AR63" s="1"/>
  <c r="X63"/>
  <c r="W64"/>
  <c r="AH64" s="1"/>
  <c r="AR64" s="1"/>
  <c r="AD64"/>
  <c r="I65"/>
  <c r="V65"/>
  <c r="AH65" s="1"/>
  <c r="AR65" s="1"/>
  <c r="X65"/>
  <c r="J66"/>
  <c r="W66"/>
  <c r="AH66" s="1"/>
  <c r="AR66" s="1"/>
  <c r="AU66" s="1"/>
  <c r="I67"/>
  <c r="V67"/>
  <c r="AH67" s="1"/>
  <c r="AR67" s="1"/>
  <c r="X67"/>
  <c r="J68"/>
  <c r="W68"/>
  <c r="AH68" s="1"/>
  <c r="AR68" s="1"/>
  <c r="AU68" s="1"/>
  <c r="J76"/>
  <c r="W76"/>
  <c r="AH76" s="1"/>
  <c r="AR76" s="1"/>
  <c r="AU76" s="1"/>
  <c r="I77"/>
  <c r="V77"/>
  <c r="AH77" s="1"/>
  <c r="AR77" s="1"/>
  <c r="X77"/>
  <c r="J78"/>
  <c r="W78"/>
  <c r="AH78" s="1"/>
  <c r="AR78" s="1"/>
  <c r="AU78" s="1"/>
  <c r="I79"/>
  <c r="V79"/>
  <c r="AH79" s="1"/>
  <c r="AR79" s="1"/>
  <c r="X79"/>
  <c r="W80"/>
  <c r="AH80" s="1"/>
  <c r="AR80" s="1"/>
  <c r="AD80"/>
  <c r="I81"/>
  <c r="V81"/>
  <c r="AH81" s="1"/>
  <c r="AR81" s="1"/>
  <c r="X81"/>
  <c r="J82"/>
  <c r="W82"/>
  <c r="AH82" s="1"/>
  <c r="AR82" s="1"/>
  <c r="AU82" s="1"/>
  <c r="I83"/>
  <c r="V83"/>
  <c r="AH83" s="1"/>
  <c r="AR83" s="1"/>
  <c r="X83"/>
  <c r="J84"/>
  <c r="W84"/>
  <c r="AH84" s="1"/>
  <c r="AR84" s="1"/>
  <c r="AU84" s="1"/>
  <c r="I92"/>
  <c r="V92"/>
  <c r="X92"/>
  <c r="AC92"/>
  <c r="I93"/>
  <c r="V93"/>
  <c r="X93"/>
  <c r="AC93"/>
  <c r="I94"/>
  <c r="V94"/>
  <c r="X94"/>
  <c r="AC94"/>
  <c r="I95"/>
  <c r="V95"/>
  <c r="X95"/>
  <c r="AC95"/>
  <c r="J102"/>
  <c r="W102"/>
  <c r="AH102" s="1"/>
  <c r="AR102" s="1"/>
  <c r="AD102"/>
  <c r="J103"/>
  <c r="W103"/>
  <c r="AH103" s="1"/>
  <c r="AR103" s="1"/>
  <c r="AD103"/>
  <c r="J104"/>
  <c r="W104"/>
  <c r="AH104" s="1"/>
  <c r="AR104" s="1"/>
  <c r="AA104"/>
  <c r="AF104" s="1"/>
  <c r="AP104" s="1"/>
  <c r="AD104"/>
  <c r="J105"/>
  <c r="W105"/>
  <c r="AH105" s="1"/>
  <c r="AR105" s="1"/>
  <c r="AA105"/>
  <c r="AF105" s="1"/>
  <c r="AP105" s="1"/>
  <c r="AD105"/>
  <c r="I112"/>
  <c r="V112"/>
  <c r="AH112" s="1"/>
  <c r="AR112" s="1"/>
  <c r="X112"/>
  <c r="AB112"/>
  <c r="AG112" s="1"/>
  <c r="AQ112" s="1"/>
  <c r="AD112"/>
  <c r="I113"/>
  <c r="V113"/>
  <c r="X113"/>
  <c r="AC113"/>
  <c r="I114"/>
  <c r="V114"/>
  <c r="X114"/>
  <c r="AC114"/>
  <c r="I115"/>
  <c r="V115"/>
  <c r="X115"/>
  <c r="AC115"/>
  <c r="J122"/>
  <c r="W122"/>
  <c r="AC122"/>
  <c r="J123"/>
  <c r="W123"/>
  <c r="AH123" s="1"/>
  <c r="AR123" s="1"/>
  <c r="AD123"/>
  <c r="J124"/>
  <c r="W124"/>
  <c r="AH124" s="1"/>
  <c r="AR124" s="1"/>
  <c r="AD124"/>
  <c r="J125"/>
  <c r="W125"/>
  <c r="AH125" s="1"/>
  <c r="AR125" s="1"/>
  <c r="AD125"/>
  <c r="I132"/>
  <c r="V132"/>
  <c r="AH132" s="1"/>
  <c r="AR132" s="1"/>
  <c r="X132"/>
  <c r="AB132"/>
  <c r="AG132" s="1"/>
  <c r="AQ132" s="1"/>
  <c r="I133"/>
  <c r="V133"/>
  <c r="AH133" s="1"/>
  <c r="AR133" s="1"/>
  <c r="X133"/>
  <c r="J134"/>
  <c r="J135"/>
  <c r="X134"/>
  <c r="V134"/>
  <c r="AH134" s="1"/>
  <c r="AR134" s="1"/>
  <c r="I134"/>
  <c r="X135"/>
  <c r="V135"/>
  <c r="I135"/>
  <c r="AC142"/>
  <c r="J142"/>
  <c r="AD142"/>
  <c r="I142"/>
  <c r="J61"/>
  <c r="W61"/>
  <c r="J63"/>
  <c r="W63"/>
  <c r="I64"/>
  <c r="J65"/>
  <c r="W65"/>
  <c r="J67"/>
  <c r="W67"/>
  <c r="J77"/>
  <c r="W77"/>
  <c r="J79"/>
  <c r="W79"/>
  <c r="I80"/>
  <c r="J81"/>
  <c r="W81"/>
  <c r="J83"/>
  <c r="W83"/>
  <c r="W92"/>
  <c r="W93"/>
  <c r="W94"/>
  <c r="W95"/>
  <c r="I102"/>
  <c r="I103"/>
  <c r="I104"/>
  <c r="I105"/>
  <c r="J112"/>
  <c r="W112"/>
  <c r="J113"/>
  <c r="W113"/>
  <c r="J114"/>
  <c r="W114"/>
  <c r="J115"/>
  <c r="W115"/>
  <c r="I122"/>
  <c r="I123"/>
  <c r="I124"/>
  <c r="I125"/>
  <c r="J132"/>
  <c r="W132"/>
  <c r="J133"/>
  <c r="W133"/>
  <c r="W134"/>
  <c r="W135"/>
  <c r="AH135" s="1"/>
  <c r="AR135" s="1"/>
  <c r="I143"/>
  <c r="AC143"/>
  <c r="I144"/>
  <c r="AC144"/>
  <c r="I145"/>
  <c r="AC145"/>
  <c r="J152"/>
  <c r="W152"/>
  <c r="AA152"/>
  <c r="AF152" s="1"/>
  <c r="AP152" s="1"/>
  <c r="J153"/>
  <c r="W153"/>
  <c r="AA153"/>
  <c r="AF153" s="1"/>
  <c r="AP153" s="1"/>
  <c r="J154"/>
  <c r="W154"/>
  <c r="AA154"/>
  <c r="AF154" s="1"/>
  <c r="AP154" s="1"/>
  <c r="J155"/>
  <c r="W155"/>
  <c r="AA155"/>
  <c r="AF155" s="1"/>
  <c r="AP155" s="1"/>
  <c r="I162"/>
  <c r="AD162"/>
  <c r="I163"/>
  <c r="AC163"/>
  <c r="I164"/>
  <c r="AC164"/>
  <c r="I165"/>
  <c r="AC165"/>
  <c r="J172"/>
  <c r="W172"/>
  <c r="AA172"/>
  <c r="AF172" s="1"/>
  <c r="AP172" s="1"/>
  <c r="J173"/>
  <c r="W173"/>
  <c r="AA173"/>
  <c r="AF173" s="1"/>
  <c r="AP173" s="1"/>
  <c r="J174"/>
  <c r="W174"/>
  <c r="AA174"/>
  <c r="AF174" s="1"/>
  <c r="AP174" s="1"/>
  <c r="J175"/>
  <c r="W175"/>
  <c r="AA175"/>
  <c r="AF175" s="1"/>
  <c r="AP175" s="1"/>
  <c r="I182"/>
  <c r="AC182"/>
  <c r="I183"/>
  <c r="AD183"/>
  <c r="I184"/>
  <c r="AC184"/>
  <c r="I185"/>
  <c r="AC185"/>
  <c r="J192"/>
  <c r="W192"/>
  <c r="AA192"/>
  <c r="AF192" s="1"/>
  <c r="AP192" s="1"/>
  <c r="J193"/>
  <c r="W193"/>
  <c r="AA193"/>
  <c r="AF193" s="1"/>
  <c r="AP193" s="1"/>
  <c r="J194"/>
  <c r="W194"/>
  <c r="AA194"/>
  <c r="AF194" s="1"/>
  <c r="AP194" s="1"/>
  <c r="J195"/>
  <c r="W195"/>
  <c r="AA195"/>
  <c r="AF195" s="1"/>
  <c r="AP195" s="1"/>
  <c r="I202"/>
  <c r="AC202"/>
  <c r="I203"/>
  <c r="AC203"/>
  <c r="I204"/>
  <c r="AC204"/>
  <c r="I205"/>
  <c r="AC205"/>
  <c r="J212"/>
  <c r="W212"/>
  <c r="AA212"/>
  <c r="AF212" s="1"/>
  <c r="AP212" s="1"/>
  <c r="J213"/>
  <c r="W213"/>
  <c r="AA213"/>
  <c r="AF213" s="1"/>
  <c r="AP213" s="1"/>
  <c r="J214"/>
  <c r="W214"/>
  <c r="AA214"/>
  <c r="AF214" s="1"/>
  <c r="AP214" s="1"/>
  <c r="J215"/>
  <c r="W215"/>
  <c r="AA215"/>
  <c r="AF215" s="1"/>
  <c r="AP215" s="1"/>
  <c r="W142"/>
  <c r="J143"/>
  <c r="W143"/>
  <c r="J144"/>
  <c r="W144"/>
  <c r="J145"/>
  <c r="W145"/>
  <c r="I152"/>
  <c r="V152"/>
  <c r="AH152" s="1"/>
  <c r="AR152" s="1"/>
  <c r="X152"/>
  <c r="I153"/>
  <c r="V153"/>
  <c r="AH153" s="1"/>
  <c r="AR153" s="1"/>
  <c r="I154"/>
  <c r="V154"/>
  <c r="AH154" s="1"/>
  <c r="AR154" s="1"/>
  <c r="I155"/>
  <c r="V155"/>
  <c r="AH155" s="1"/>
  <c r="AR155" s="1"/>
  <c r="J162"/>
  <c r="W162"/>
  <c r="AH162" s="1"/>
  <c r="AR162" s="1"/>
  <c r="J163"/>
  <c r="W163"/>
  <c r="J164"/>
  <c r="W164"/>
  <c r="J165"/>
  <c r="W165"/>
  <c r="I172"/>
  <c r="V172"/>
  <c r="AH172" s="1"/>
  <c r="AR172" s="1"/>
  <c r="I173"/>
  <c r="V173"/>
  <c r="AH173" s="1"/>
  <c r="AR173" s="1"/>
  <c r="X173"/>
  <c r="I174"/>
  <c r="V174"/>
  <c r="AH174" s="1"/>
  <c r="AR174" s="1"/>
  <c r="I175"/>
  <c r="V175"/>
  <c r="AH175" s="1"/>
  <c r="AR175" s="1"/>
  <c r="J182"/>
  <c r="W182"/>
  <c r="J183"/>
  <c r="W183"/>
  <c r="AH183" s="1"/>
  <c r="AR183" s="1"/>
  <c r="J184"/>
  <c r="W184"/>
  <c r="J185"/>
  <c r="W185"/>
  <c r="I192"/>
  <c r="V192"/>
  <c r="AJ192" s="1"/>
  <c r="AT192" s="1"/>
  <c r="I193"/>
  <c r="V193"/>
  <c r="AH193" s="1"/>
  <c r="AR193" s="1"/>
  <c r="I194"/>
  <c r="V194"/>
  <c r="AJ194" s="1"/>
  <c r="AT194" s="1"/>
  <c r="I195"/>
  <c r="V195"/>
  <c r="AI195" s="1"/>
  <c r="AS195" s="1"/>
  <c r="J202"/>
  <c r="W202"/>
  <c r="AI202" s="1"/>
  <c r="AS202" s="1"/>
  <c r="J203"/>
  <c r="W203"/>
  <c r="AJ203" s="1"/>
  <c r="AT203" s="1"/>
  <c r="J204"/>
  <c r="W204"/>
  <c r="AI204" s="1"/>
  <c r="AS204" s="1"/>
  <c r="J205"/>
  <c r="W205"/>
  <c r="AJ205" s="1"/>
  <c r="AT205" s="1"/>
  <c r="I212"/>
  <c r="V212"/>
  <c r="AJ212" s="1"/>
  <c r="AT212" s="1"/>
  <c r="I213"/>
  <c r="V213"/>
  <c r="AI213" s="1"/>
  <c r="AS213" s="1"/>
  <c r="I214"/>
  <c r="V214"/>
  <c r="AJ214" s="1"/>
  <c r="AT214" s="1"/>
  <c r="I215"/>
  <c r="V215"/>
  <c r="AI215" s="1"/>
  <c r="AS215" s="1"/>
  <c r="D40" i="15"/>
  <c r="D33"/>
  <c r="D26"/>
  <c r="D19"/>
  <c r="D12"/>
  <c r="H57" i="22" l="1"/>
  <c r="AF57" s="1"/>
  <c r="AF52"/>
  <c r="AF67"/>
  <c r="BT79" i="21"/>
  <c r="K533"/>
  <c r="BT514"/>
  <c r="K425"/>
  <c r="BT406"/>
  <c r="K371"/>
  <c r="BT352"/>
  <c r="K239"/>
  <c r="BT223"/>
  <c r="K116"/>
  <c r="BB141"/>
  <c r="BS141" s="1"/>
  <c r="AZ141"/>
  <c r="BR141" s="1"/>
  <c r="BE113"/>
  <c r="AM113"/>
  <c r="AV113" s="1"/>
  <c r="BN113" s="1"/>
  <c r="BH77"/>
  <c r="AP77"/>
  <c r="AY77" s="1"/>
  <c r="BQ77" s="1"/>
  <c r="BD77"/>
  <c r="AL77"/>
  <c r="AU77" s="1"/>
  <c r="BM77" s="1"/>
  <c r="BC113"/>
  <c r="AK113"/>
  <c r="AT113" s="1"/>
  <c r="BL113" s="1"/>
  <c r="BT423"/>
  <c r="BA100"/>
  <c r="L215"/>
  <c r="BQ181"/>
  <c r="BM181"/>
  <c r="BQ143"/>
  <c r="BM143"/>
  <c r="BQ109"/>
  <c r="BM109"/>
  <c r="BT97"/>
  <c r="AZ175"/>
  <c r="BR175" s="1"/>
  <c r="BT175" s="1"/>
  <c r="BB89"/>
  <c r="BS89" s="1"/>
  <c r="BT168"/>
  <c r="BQ145"/>
  <c r="BO145"/>
  <c r="BM145"/>
  <c r="BT145" s="1"/>
  <c r="BT131"/>
  <c r="BA175"/>
  <c r="AZ135"/>
  <c r="BR135" s="1"/>
  <c r="BT135" s="1"/>
  <c r="AZ105"/>
  <c r="BR105" s="1"/>
  <c r="BT105" s="1"/>
  <c r="BB100"/>
  <c r="BS100" s="1"/>
  <c r="BP73"/>
  <c r="BL73"/>
  <c r="BN33"/>
  <c r="BT33" s="1"/>
  <c r="BT22"/>
  <c r="L40"/>
  <c r="K215"/>
  <c r="BL181"/>
  <c r="BQ113"/>
  <c r="BO113"/>
  <c r="BM113"/>
  <c r="BB33"/>
  <c r="BS33" s="1"/>
  <c r="K80"/>
  <c r="K317"/>
  <c r="BT298"/>
  <c r="K263"/>
  <c r="BT247"/>
  <c r="BB136"/>
  <c r="BS136" s="1"/>
  <c r="AZ136"/>
  <c r="BR136" s="1"/>
  <c r="BT136" s="1"/>
  <c r="BG113"/>
  <c r="AO113"/>
  <c r="AX113" s="1"/>
  <c r="BB99"/>
  <c r="BS99" s="1"/>
  <c r="AZ99"/>
  <c r="BR99" s="1"/>
  <c r="BT99" s="1"/>
  <c r="BF77"/>
  <c r="AN77"/>
  <c r="AW77" s="1"/>
  <c r="BC185"/>
  <c r="AK185"/>
  <c r="AT185" s="1"/>
  <c r="BL185" s="1"/>
  <c r="BT185" s="1"/>
  <c r="L479"/>
  <c r="BO181"/>
  <c r="BO143"/>
  <c r="BT141"/>
  <c r="BO109"/>
  <c r="BA136"/>
  <c r="K148"/>
  <c r="BA99"/>
  <c r="AZ89"/>
  <c r="BR89" s="1"/>
  <c r="BT89" s="1"/>
  <c r="BA141"/>
  <c r="BB135"/>
  <c r="BS135" s="1"/>
  <c r="BB105"/>
  <c r="BS105" s="1"/>
  <c r="AZ100"/>
  <c r="BR100" s="1"/>
  <c r="BT100" s="1"/>
  <c r="L80"/>
  <c r="AZ33"/>
  <c r="BR33" s="1"/>
  <c r="K40"/>
  <c r="BN37"/>
  <c r="BL37"/>
  <c r="BT37" s="1"/>
  <c r="AU18" i="20"/>
  <c r="AU27"/>
  <c r="AU173"/>
  <c r="AU172"/>
  <c r="AU155"/>
  <c r="AU154"/>
  <c r="AU153"/>
  <c r="AU183"/>
  <c r="AU162"/>
  <c r="AH215"/>
  <c r="AR215" s="1"/>
  <c r="AH214"/>
  <c r="AR214" s="1"/>
  <c r="AH213"/>
  <c r="AR213" s="1"/>
  <c r="AH212"/>
  <c r="AR212" s="1"/>
  <c r="AI205"/>
  <c r="AS205" s="1"/>
  <c r="AI203"/>
  <c r="AS203" s="1"/>
  <c r="AH195"/>
  <c r="AR195" s="1"/>
  <c r="AH194"/>
  <c r="AR194" s="1"/>
  <c r="AI193"/>
  <c r="AS193" s="1"/>
  <c r="AH192"/>
  <c r="AR192" s="1"/>
  <c r="AU125"/>
  <c r="AU123"/>
  <c r="AU105"/>
  <c r="AU103"/>
  <c r="AU80"/>
  <c r="AU135"/>
  <c r="AJ215"/>
  <c r="AT215" s="1"/>
  <c r="AJ213"/>
  <c r="AT213" s="1"/>
  <c r="AJ204"/>
  <c r="AT204" s="1"/>
  <c r="AJ202"/>
  <c r="AT202" s="1"/>
  <c r="AJ195"/>
  <c r="AT195" s="1"/>
  <c r="AJ193"/>
  <c r="AT193" s="1"/>
  <c r="AH115"/>
  <c r="AR115" s="1"/>
  <c r="AH114"/>
  <c r="AR114" s="1"/>
  <c r="AH113"/>
  <c r="AR113" s="1"/>
  <c r="AU112"/>
  <c r="AU81"/>
  <c r="AU77"/>
  <c r="AU65"/>
  <c r="AU61"/>
  <c r="AU50"/>
  <c r="AU48"/>
  <c r="AU46"/>
  <c r="AU44"/>
  <c r="AU35"/>
  <c r="AU33"/>
  <c r="AU31"/>
  <c r="AU29"/>
  <c r="AU20"/>
  <c r="AU215"/>
  <c r="AU213"/>
  <c r="AU195"/>
  <c r="AU193"/>
  <c r="AU175"/>
  <c r="AU174"/>
  <c r="AU152"/>
  <c r="AH205"/>
  <c r="AR205" s="1"/>
  <c r="AU205" s="1"/>
  <c r="AH204"/>
  <c r="AR204" s="1"/>
  <c r="AU204" s="1"/>
  <c r="AH203"/>
  <c r="AR203" s="1"/>
  <c r="AU203" s="1"/>
  <c r="AH202"/>
  <c r="AR202" s="1"/>
  <c r="AU202" s="1"/>
  <c r="AH185"/>
  <c r="AR185" s="1"/>
  <c r="AU185" s="1"/>
  <c r="AH184"/>
  <c r="AR184" s="1"/>
  <c r="AU184" s="1"/>
  <c r="AH182"/>
  <c r="AR182" s="1"/>
  <c r="AU182" s="1"/>
  <c r="AH165"/>
  <c r="AR165" s="1"/>
  <c r="AU165" s="1"/>
  <c r="AH164"/>
  <c r="AR164" s="1"/>
  <c r="AU164" s="1"/>
  <c r="AH163"/>
  <c r="AR163" s="1"/>
  <c r="AU163" s="1"/>
  <c r="AH145"/>
  <c r="AR145" s="1"/>
  <c r="AU145" s="1"/>
  <c r="AH144"/>
  <c r="AR144" s="1"/>
  <c r="AU144" s="1"/>
  <c r="AH143"/>
  <c r="AR143" s="1"/>
  <c r="AU143" s="1"/>
  <c r="AI214"/>
  <c r="AS214" s="1"/>
  <c r="AU214" s="1"/>
  <c r="AI212"/>
  <c r="AS212" s="1"/>
  <c r="AU212" s="1"/>
  <c r="AI194"/>
  <c r="AS194" s="1"/>
  <c r="AU194" s="1"/>
  <c r="AI192"/>
  <c r="AS192" s="1"/>
  <c r="AU192" s="1"/>
  <c r="AU124"/>
  <c r="AU104"/>
  <c r="AU102"/>
  <c r="AU64"/>
  <c r="AH142"/>
  <c r="AR142" s="1"/>
  <c r="AU142" s="1"/>
  <c r="AU134"/>
  <c r="AU133"/>
  <c r="AU132"/>
  <c r="AH122"/>
  <c r="AR122" s="1"/>
  <c r="AU122" s="1"/>
  <c r="AU115"/>
  <c r="AU114"/>
  <c r="AU113"/>
  <c r="AH95"/>
  <c r="AR95" s="1"/>
  <c r="AU95" s="1"/>
  <c r="AH94"/>
  <c r="AR94" s="1"/>
  <c r="AU94" s="1"/>
  <c r="AH93"/>
  <c r="AR93" s="1"/>
  <c r="AU93" s="1"/>
  <c r="AH92"/>
  <c r="AR92" s="1"/>
  <c r="AU92" s="1"/>
  <c r="AU83"/>
  <c r="AU79"/>
  <c r="AU67"/>
  <c r="AU63"/>
  <c r="AU14"/>
  <c r="AU12"/>
  <c r="AU30"/>
  <c r="AU19"/>
  <c r="AU17"/>
  <c r="AU15"/>
  <c r="F15" i="10"/>
  <c r="BT181" i="21" l="1"/>
  <c r="BT109"/>
  <c r="BT113"/>
  <c r="BO77"/>
  <c r="BT77" s="1"/>
  <c r="BP113"/>
  <c r="BT73"/>
  <c r="BT143"/>
  <c r="G14" i="10"/>
  <c r="G112" l="1"/>
  <c r="G192" l="1"/>
  <c r="G191"/>
  <c r="G186"/>
  <c r="G185"/>
  <c r="G194" l="1"/>
  <c r="G188"/>
  <c r="G179"/>
  <c r="G180"/>
  <c r="G182" l="1"/>
  <c r="G132"/>
  <c r="G121" l="1"/>
  <c r="G136"/>
  <c r="G123"/>
  <c r="G126"/>
  <c r="G138"/>
  <c r="G134"/>
  <c r="G137"/>
  <c r="G131"/>
  <c r="G120" l="1"/>
  <c r="G101"/>
  <c r="G115"/>
  <c r="G103" l="1"/>
  <c r="G90"/>
  <c r="G93"/>
  <c r="G87"/>
  <c r="G88"/>
  <c r="G99"/>
  <c r="G110"/>
  <c r="G127"/>
  <c r="G94"/>
  <c r="G66"/>
  <c r="G105" l="1"/>
  <c r="G74"/>
  <c r="G65"/>
  <c r="G116"/>
  <c r="G67"/>
  <c r="G109"/>
  <c r="G98"/>
  <c r="G58"/>
  <c r="G57"/>
  <c r="G11"/>
  <c r="G62"/>
  <c r="G63"/>
  <c r="G70"/>
  <c r="G38"/>
  <c r="G12"/>
  <c r="G15"/>
  <c r="G78" l="1"/>
  <c r="G30"/>
  <c r="G20"/>
  <c r="G47"/>
  <c r="G32"/>
  <c r="G22"/>
  <c r="G28"/>
  <c r="G54"/>
  <c r="G24"/>
  <c r="G23"/>
  <c r="G49"/>
  <c r="G55"/>
  <c r="G40"/>
  <c r="G46"/>
  <c r="G37"/>
  <c r="G34"/>
  <c r="G79"/>
  <c r="G73"/>
  <c r="G81"/>
  <c r="G59"/>
  <c r="G16"/>
  <c r="G173"/>
  <c r="G71" l="1"/>
  <c r="G27"/>
  <c r="G19"/>
  <c r="G51"/>
  <c r="G83"/>
  <c r="G75"/>
  <c r="G104"/>
  <c r="G174"/>
  <c r="G92"/>
  <c r="G114"/>
  <c r="G43"/>
  <c r="G176"/>
  <c r="E40" i="15" l="1"/>
  <c r="AB23" i="6"/>
  <c r="Z23"/>
  <c r="C28" i="11" l="1"/>
  <c r="AH21" i="6"/>
  <c r="F21" s="1"/>
  <c r="F31" s="1"/>
  <c r="M23"/>
  <c r="J23"/>
  <c r="AE31" l="1"/>
  <c r="AE33" s="1"/>
  <c r="L35" i="7" l="1"/>
  <c r="L36"/>
  <c r="L37"/>
  <c r="L38"/>
  <c r="L39"/>
  <c r="L56"/>
  <c r="L49"/>
  <c r="L48"/>
  <c r="L47"/>
  <c r="L46"/>
  <c r="L45"/>
  <c r="H82" i="18" l="1"/>
  <c r="H93" s="1"/>
  <c r="H81"/>
  <c r="H92" s="1"/>
  <c r="J79"/>
  <c r="J90" s="1"/>
  <c r="H79"/>
  <c r="H90" s="1"/>
  <c r="K77"/>
  <c r="K88" s="1"/>
  <c r="J77"/>
  <c r="J88" s="1"/>
  <c r="I77"/>
  <c r="I88" s="1"/>
  <c r="H77"/>
  <c r="H88" s="1"/>
  <c r="B31" i="19" l="1"/>
  <c r="B30"/>
  <c r="B29"/>
  <c r="D29" s="1"/>
  <c r="B24"/>
  <c r="C31"/>
  <c r="C32"/>
  <c r="C33"/>
  <c r="C34"/>
  <c r="C30"/>
  <c r="C24"/>
  <c r="P30" i="18"/>
  <c r="P31" s="1"/>
  <c r="K32" s="1"/>
  <c r="K33" s="1"/>
  <c r="I38" s="1"/>
  <c r="C2" i="19"/>
  <c r="B2"/>
  <c r="B6"/>
  <c r="D30" l="1"/>
  <c r="D31"/>
  <c r="C25"/>
  <c r="C28"/>
  <c r="C27"/>
  <c r="C26"/>
  <c r="C23"/>
  <c r="B19"/>
  <c r="B11"/>
  <c r="C22"/>
  <c r="C21"/>
  <c r="C20"/>
  <c r="C19"/>
  <c r="C18"/>
  <c r="C17"/>
  <c r="C16"/>
  <c r="C15"/>
  <c r="C14"/>
  <c r="C13"/>
  <c r="C12"/>
  <c r="C11"/>
  <c r="C10"/>
  <c r="C9"/>
  <c r="C8"/>
  <c r="C7"/>
  <c r="C6"/>
  <c r="D6" s="1"/>
  <c r="I11" i="18" s="1"/>
  <c r="C5" i="19"/>
  <c r="C4"/>
  <c r="C3"/>
  <c r="D2" l="1"/>
  <c r="B15"/>
  <c r="D15" s="1"/>
  <c r="I13" i="18" s="1"/>
  <c r="D11" i="19"/>
  <c r="I12" i="18" s="1"/>
  <c r="I14"/>
  <c r="D19" i="19"/>
  <c r="I10" i="18"/>
  <c r="D24" i="19"/>
  <c r="D32" s="1"/>
  <c r="I15" i="18" s="1"/>
  <c r="D36" i="19" l="1"/>
  <c r="F16" i="18"/>
  <c r="F38" s="1"/>
  <c r="K38" s="1"/>
  <c r="L39" s="1"/>
  <c r="Q45"/>
  <c r="Q39"/>
  <c r="P35"/>
  <c r="P36" s="1"/>
  <c r="P37" s="1"/>
  <c r="O27"/>
  <c r="O28" s="1"/>
  <c r="P23"/>
  <c r="I51" l="1"/>
  <c r="K51" s="1"/>
  <c r="I48"/>
  <c r="K48" s="1"/>
  <c r="I49"/>
  <c r="K49" s="1"/>
  <c r="P42"/>
  <c r="I47" l="1"/>
  <c r="K47" l="1"/>
  <c r="I46"/>
  <c r="I50"/>
  <c r="I52" l="1"/>
  <c r="K52" s="1"/>
  <c r="K50"/>
  <c r="I53"/>
  <c r="K53" s="1"/>
  <c r="K46"/>
  <c r="I44"/>
  <c r="E12" i="15"/>
  <c r="F311" i="9"/>
  <c r="F166"/>
  <c r="F186" s="1"/>
  <c r="F164"/>
  <c r="F184" s="1"/>
  <c r="F163"/>
  <c r="F183" s="1"/>
  <c r="E11" i="8"/>
  <c r="F165" i="9" s="1"/>
  <c r="F185" s="1"/>
  <c r="AH34" i="6"/>
  <c r="AH36"/>
  <c r="AH38"/>
  <c r="AH39"/>
  <c r="AH40"/>
  <c r="AH41"/>
  <c r="E33" i="15"/>
  <c r="E26"/>
  <c r="D41"/>
  <c r="F310" i="9" l="1"/>
  <c r="K44" i="18"/>
  <c r="I45"/>
  <c r="B294" i="9"/>
  <c r="B293"/>
  <c r="B292"/>
  <c r="B291"/>
  <c r="B290"/>
  <c r="B289"/>
  <c r="F294"/>
  <c r="F293"/>
  <c r="F292"/>
  <c r="F291"/>
  <c r="F290"/>
  <c r="F289"/>
  <c r="H290" l="1"/>
  <c r="F211"/>
  <c r="F236" s="1"/>
  <c r="F261" s="1"/>
  <c r="F286" s="1"/>
  <c r="G286" s="1"/>
  <c r="F209"/>
  <c r="F234" s="1"/>
  <c r="F259" s="1"/>
  <c r="F284" s="1"/>
  <c r="F208"/>
  <c r="F233" s="1"/>
  <c r="F258" s="1"/>
  <c r="F283" s="1"/>
  <c r="H289"/>
  <c r="I43" i="18"/>
  <c r="K43" s="1"/>
  <c r="K45"/>
  <c r="H292" i="9"/>
  <c r="H294"/>
  <c r="H293"/>
  <c r="H291"/>
  <c r="F308" l="1"/>
  <c r="G283"/>
  <c r="F309"/>
  <c r="G284"/>
  <c r="L55" i="18"/>
  <c r="L57" s="1"/>
  <c r="I70" s="1"/>
  <c r="I295" i="9"/>
  <c r="I81" i="18" l="1"/>
  <c r="I71"/>
  <c r="L73" s="1"/>
  <c r="I92" l="1"/>
  <c r="I93" s="1"/>
  <c r="L95" s="1"/>
  <c r="I82"/>
  <c r="L84" s="1"/>
  <c r="G168" i="10"/>
  <c r="G167"/>
  <c r="G163"/>
  <c r="G162"/>
  <c r="G158"/>
  <c r="G157"/>
  <c r="G153"/>
  <c r="G152"/>
  <c r="G148"/>
  <c r="G147"/>
  <c r="G142"/>
  <c r="G141"/>
  <c r="G31"/>
  <c r="G1720" i="9"/>
  <c r="I1722" s="1"/>
  <c r="F1717"/>
  <c r="H1717" s="1"/>
  <c r="I1718" s="1"/>
  <c r="F1714"/>
  <c r="G1714" s="1"/>
  <c r="F1713"/>
  <c r="G1713" s="1"/>
  <c r="F1712"/>
  <c r="G1712" s="1"/>
  <c r="F1711"/>
  <c r="G1711" s="1"/>
  <c r="F1702"/>
  <c r="G1702" s="1"/>
  <c r="I1704" s="1"/>
  <c r="F1699"/>
  <c r="H1699" s="1"/>
  <c r="F1698"/>
  <c r="H1698" s="1"/>
  <c r="F1695"/>
  <c r="G1695" s="1"/>
  <c r="F1694"/>
  <c r="G1694" s="1"/>
  <c r="F1693"/>
  <c r="G1693" s="1"/>
  <c r="F1692"/>
  <c r="G1692" s="1"/>
  <c r="F1681"/>
  <c r="H1681" s="1"/>
  <c r="F1680"/>
  <c r="H1680" s="1"/>
  <c r="F1679"/>
  <c r="H1679" s="1"/>
  <c r="F1678"/>
  <c r="H1678" s="1"/>
  <c r="F1677"/>
  <c r="H1677" s="1"/>
  <c r="F1676"/>
  <c r="H1676" s="1"/>
  <c r="F1675"/>
  <c r="H1675" s="1"/>
  <c r="F1672"/>
  <c r="G1672" s="1"/>
  <c r="F1671"/>
  <c r="G1671" s="1"/>
  <c r="F1670"/>
  <c r="G1670" s="1"/>
  <c r="F1669"/>
  <c r="G1669" s="1"/>
  <c r="F1658"/>
  <c r="H1658" s="1"/>
  <c r="F1657"/>
  <c r="H1657" s="1"/>
  <c r="F1656"/>
  <c r="H1656" s="1"/>
  <c r="F1655"/>
  <c r="H1655" s="1"/>
  <c r="F1654"/>
  <c r="H1654" s="1"/>
  <c r="F1653"/>
  <c r="H1653" s="1"/>
  <c r="F1652"/>
  <c r="H1652" s="1"/>
  <c r="F1649"/>
  <c r="G1649" s="1"/>
  <c r="F1648"/>
  <c r="G1648" s="1"/>
  <c r="F1647"/>
  <c r="G1647" s="1"/>
  <c r="F1646"/>
  <c r="G1646" s="1"/>
  <c r="F1634"/>
  <c r="H1634" s="1"/>
  <c r="F1633"/>
  <c r="H1633" s="1"/>
  <c r="F1632"/>
  <c r="H1632" s="1"/>
  <c r="F1631"/>
  <c r="H1631" s="1"/>
  <c r="F1630"/>
  <c r="H1630" s="1"/>
  <c r="F1629"/>
  <c r="H1629" s="1"/>
  <c r="F1628"/>
  <c r="H1628" s="1"/>
  <c r="F1627"/>
  <c r="H1627" s="1"/>
  <c r="F1624"/>
  <c r="G1624" s="1"/>
  <c r="F1623"/>
  <c r="G1623" s="1"/>
  <c r="F1622"/>
  <c r="G1622" s="1"/>
  <c r="F1621"/>
  <c r="G1621" s="1"/>
  <c r="F1609"/>
  <c r="H1609" s="1"/>
  <c r="F1608"/>
  <c r="H1608" s="1"/>
  <c r="F1607"/>
  <c r="H1607" s="1"/>
  <c r="F1606"/>
  <c r="H1606" s="1"/>
  <c r="F1605"/>
  <c r="H1605" s="1"/>
  <c r="F1604"/>
  <c r="H1604" s="1"/>
  <c r="F1603"/>
  <c r="H1603" s="1"/>
  <c r="F1602"/>
  <c r="H1602" s="1"/>
  <c r="F1599"/>
  <c r="G1599" s="1"/>
  <c r="F1598"/>
  <c r="G1598" s="1"/>
  <c r="F1597"/>
  <c r="G1597" s="1"/>
  <c r="F1596"/>
  <c r="G1596" s="1"/>
  <c r="F1584"/>
  <c r="H1584" s="1"/>
  <c r="F1583"/>
  <c r="H1583" s="1"/>
  <c r="F1582"/>
  <c r="H1582" s="1"/>
  <c r="F1581"/>
  <c r="H1581" s="1"/>
  <c r="F1580"/>
  <c r="H1580" s="1"/>
  <c r="F1579"/>
  <c r="H1579" s="1"/>
  <c r="F1578"/>
  <c r="H1578" s="1"/>
  <c r="F1577"/>
  <c r="H1577" s="1"/>
  <c r="F1574"/>
  <c r="G1574" s="1"/>
  <c r="F1573"/>
  <c r="G1573" s="1"/>
  <c r="F1572"/>
  <c r="G1572" s="1"/>
  <c r="F1571"/>
  <c r="G1571" s="1"/>
  <c r="F1559"/>
  <c r="H1559" s="1"/>
  <c r="F1558"/>
  <c r="H1558" s="1"/>
  <c r="F1557"/>
  <c r="H1557" s="1"/>
  <c r="F1556"/>
  <c r="H1556" s="1"/>
  <c r="F1555"/>
  <c r="H1555" s="1"/>
  <c r="F1554"/>
  <c r="H1554" s="1"/>
  <c r="F1553"/>
  <c r="H1553" s="1"/>
  <c r="F1552"/>
  <c r="H1552" s="1"/>
  <c r="F1549"/>
  <c r="G1549" s="1"/>
  <c r="F1548"/>
  <c r="G1548" s="1"/>
  <c r="F1547"/>
  <c r="G1547" s="1"/>
  <c r="F1546"/>
  <c r="G1546" s="1"/>
  <c r="F1534"/>
  <c r="H1534" s="1"/>
  <c r="F1533"/>
  <c r="H1533" s="1"/>
  <c r="F1532"/>
  <c r="H1532" s="1"/>
  <c r="F1531"/>
  <c r="H1531" s="1"/>
  <c r="F1530"/>
  <c r="H1530" s="1"/>
  <c r="F1529"/>
  <c r="H1529" s="1"/>
  <c r="F1528"/>
  <c r="H1528" s="1"/>
  <c r="F1527"/>
  <c r="H1527" s="1"/>
  <c r="F1524"/>
  <c r="G1524" s="1"/>
  <c r="F1523"/>
  <c r="G1523" s="1"/>
  <c r="F1522"/>
  <c r="G1522" s="1"/>
  <c r="F1521"/>
  <c r="G1521" s="1"/>
  <c r="F1509"/>
  <c r="H1509" s="1"/>
  <c r="F1508"/>
  <c r="H1508" s="1"/>
  <c r="F1507"/>
  <c r="H1507" s="1"/>
  <c r="F1506"/>
  <c r="H1506" s="1"/>
  <c r="F1505"/>
  <c r="H1505" s="1"/>
  <c r="F1504"/>
  <c r="H1504" s="1"/>
  <c r="F1503"/>
  <c r="H1503" s="1"/>
  <c r="F1502"/>
  <c r="H1502" s="1"/>
  <c r="F1499"/>
  <c r="G1499" s="1"/>
  <c r="F1498"/>
  <c r="G1498" s="1"/>
  <c r="F1497"/>
  <c r="G1497" s="1"/>
  <c r="F1496"/>
  <c r="G1496" s="1"/>
  <c r="F1484"/>
  <c r="H1484" s="1"/>
  <c r="F1483"/>
  <c r="H1483" s="1"/>
  <c r="F1482"/>
  <c r="H1482" s="1"/>
  <c r="F1481"/>
  <c r="H1481" s="1"/>
  <c r="F1480"/>
  <c r="H1480" s="1"/>
  <c r="F1479"/>
  <c r="H1479" s="1"/>
  <c r="F1478"/>
  <c r="H1478" s="1"/>
  <c r="F1477"/>
  <c r="H1477" s="1"/>
  <c r="F1474"/>
  <c r="G1474" s="1"/>
  <c r="F1473"/>
  <c r="G1473" s="1"/>
  <c r="F1472"/>
  <c r="G1472" s="1"/>
  <c r="F1471"/>
  <c r="G1471" s="1"/>
  <c r="F1459"/>
  <c r="H1459" s="1"/>
  <c r="F1458"/>
  <c r="H1458" s="1"/>
  <c r="F1457"/>
  <c r="H1457" s="1"/>
  <c r="F1456"/>
  <c r="H1456" s="1"/>
  <c r="F1455"/>
  <c r="H1455" s="1"/>
  <c r="F1454"/>
  <c r="H1454" s="1"/>
  <c r="F1453"/>
  <c r="H1453" s="1"/>
  <c r="F1452"/>
  <c r="H1452" s="1"/>
  <c r="F1449"/>
  <c r="G1449" s="1"/>
  <c r="F1448"/>
  <c r="G1448" s="1"/>
  <c r="F1447"/>
  <c r="G1447" s="1"/>
  <c r="F1446"/>
  <c r="G1446" s="1"/>
  <c r="G1437"/>
  <c r="I1439" s="1"/>
  <c r="F1434"/>
  <c r="H1434" s="1"/>
  <c r="F1433"/>
  <c r="H1433" s="1"/>
  <c r="F1432"/>
  <c r="H1432" s="1"/>
  <c r="F1431"/>
  <c r="H1431" s="1"/>
  <c r="F1430"/>
  <c r="H1430" s="1"/>
  <c r="F1429"/>
  <c r="H1429" s="1"/>
  <c r="F1428"/>
  <c r="H1428" s="1"/>
  <c r="F1427"/>
  <c r="B1427"/>
  <c r="F1424"/>
  <c r="G1424" s="1"/>
  <c r="F1423"/>
  <c r="G1423" s="1"/>
  <c r="F1422"/>
  <c r="G1422" s="1"/>
  <c r="F1421"/>
  <c r="G1421" s="1"/>
  <c r="F1409"/>
  <c r="H1409" s="1"/>
  <c r="F1408"/>
  <c r="H1408" s="1"/>
  <c r="F1407"/>
  <c r="H1407" s="1"/>
  <c r="F1406"/>
  <c r="H1406" s="1"/>
  <c r="F1405"/>
  <c r="H1405" s="1"/>
  <c r="F1404"/>
  <c r="H1404" s="1"/>
  <c r="F1403"/>
  <c r="H1403" s="1"/>
  <c r="F1402"/>
  <c r="B1402"/>
  <c r="F1399"/>
  <c r="G1399" s="1"/>
  <c r="F1398"/>
  <c r="G1398" s="1"/>
  <c r="F1397"/>
  <c r="G1397" s="1"/>
  <c r="F1396"/>
  <c r="G1396" s="1"/>
  <c r="F1384"/>
  <c r="B1384"/>
  <c r="F1383"/>
  <c r="H1383" s="1"/>
  <c r="F1382"/>
  <c r="H1382" s="1"/>
  <c r="F1379"/>
  <c r="G1379" s="1"/>
  <c r="F1378"/>
  <c r="G1378" s="1"/>
  <c r="F1377"/>
  <c r="G1377" s="1"/>
  <c r="F1376"/>
  <c r="G1376" s="1"/>
  <c r="F1364"/>
  <c r="H1364" s="1"/>
  <c r="F1363"/>
  <c r="H1363" s="1"/>
  <c r="F1362"/>
  <c r="H1362" s="1"/>
  <c r="F1361"/>
  <c r="H1361" s="1"/>
  <c r="F1358"/>
  <c r="G1358" s="1"/>
  <c r="F1357"/>
  <c r="G1357" s="1"/>
  <c r="F1356"/>
  <c r="G1356" s="1"/>
  <c r="F1355"/>
  <c r="G1355" s="1"/>
  <c r="F1343"/>
  <c r="H1343" s="1"/>
  <c r="F1342"/>
  <c r="H1342" s="1"/>
  <c r="F1341"/>
  <c r="H1341" s="1"/>
  <c r="F1340"/>
  <c r="H1340" s="1"/>
  <c r="F1339"/>
  <c r="H1339" s="1"/>
  <c r="F1338"/>
  <c r="H1338" s="1"/>
  <c r="F1335"/>
  <c r="G1335" s="1"/>
  <c r="F1334"/>
  <c r="G1334" s="1"/>
  <c r="F1333"/>
  <c r="G1333" s="1"/>
  <c r="F1332"/>
  <c r="G1332" s="1"/>
  <c r="F1320"/>
  <c r="H1320" s="1"/>
  <c r="F1319"/>
  <c r="H1319" s="1"/>
  <c r="F1318"/>
  <c r="H1318" s="1"/>
  <c r="F1315"/>
  <c r="G1315" s="1"/>
  <c r="F1314"/>
  <c r="G1314" s="1"/>
  <c r="F1313"/>
  <c r="G1313" s="1"/>
  <c r="F1312"/>
  <c r="G1312" s="1"/>
  <c r="F1300"/>
  <c r="H1300" s="1"/>
  <c r="F1299"/>
  <c r="H1299" s="1"/>
  <c r="F1296"/>
  <c r="G1296" s="1"/>
  <c r="F1295"/>
  <c r="G1295" s="1"/>
  <c r="F1294"/>
  <c r="G1294" s="1"/>
  <c r="F1293"/>
  <c r="G1293" s="1"/>
  <c r="F1281"/>
  <c r="H1281" s="1"/>
  <c r="I1282" s="1"/>
  <c r="F1278"/>
  <c r="G1278" s="1"/>
  <c r="F1277"/>
  <c r="G1277" s="1"/>
  <c r="F1276"/>
  <c r="G1276" s="1"/>
  <c r="F1275"/>
  <c r="G1275" s="1"/>
  <c r="F1263"/>
  <c r="B1263"/>
  <c r="F1262"/>
  <c r="B1262"/>
  <c r="F1259"/>
  <c r="G1259" s="1"/>
  <c r="F1258"/>
  <c r="G1258" s="1"/>
  <c r="F1257"/>
  <c r="G1257" s="1"/>
  <c r="F1256"/>
  <c r="G1256" s="1"/>
  <c r="F1244"/>
  <c r="B1244"/>
  <c r="F1243"/>
  <c r="B1243"/>
  <c r="F1240"/>
  <c r="G1240" s="1"/>
  <c r="F1239"/>
  <c r="G1239" s="1"/>
  <c r="F1238"/>
  <c r="G1238" s="1"/>
  <c r="F1237"/>
  <c r="G1237" s="1"/>
  <c r="I1230"/>
  <c r="F1225"/>
  <c r="B1225"/>
  <c r="F1224"/>
  <c r="B1224"/>
  <c r="F1221"/>
  <c r="G1221" s="1"/>
  <c r="F1220"/>
  <c r="G1220" s="1"/>
  <c r="F1219"/>
  <c r="G1219" s="1"/>
  <c r="F1218"/>
  <c r="G1218" s="1"/>
  <c r="F1206"/>
  <c r="H1206" s="1"/>
  <c r="F1205"/>
  <c r="H1205" s="1"/>
  <c r="F1202"/>
  <c r="G1202" s="1"/>
  <c r="F1201"/>
  <c r="G1201" s="1"/>
  <c r="F1200"/>
  <c r="G1200" s="1"/>
  <c r="F1199"/>
  <c r="G1199" s="1"/>
  <c r="F1187"/>
  <c r="H1187" s="1"/>
  <c r="F1186"/>
  <c r="H1186" s="1"/>
  <c r="F1183"/>
  <c r="G1183" s="1"/>
  <c r="F1182"/>
  <c r="G1182" s="1"/>
  <c r="F1181"/>
  <c r="G1181" s="1"/>
  <c r="F1180"/>
  <c r="G1180" s="1"/>
  <c r="F1168"/>
  <c r="H1168" s="1"/>
  <c r="F1167"/>
  <c r="H1167" s="1"/>
  <c r="F1164"/>
  <c r="G1164" s="1"/>
  <c r="F1163"/>
  <c r="G1163" s="1"/>
  <c r="F1162"/>
  <c r="G1162" s="1"/>
  <c r="F1161"/>
  <c r="G1161" s="1"/>
  <c r="F1149"/>
  <c r="H1149" s="1"/>
  <c r="F1148"/>
  <c r="H1148" s="1"/>
  <c r="F1147"/>
  <c r="B1147"/>
  <c r="F1146"/>
  <c r="H1146" s="1"/>
  <c r="F1143"/>
  <c r="G1143" s="1"/>
  <c r="F1142"/>
  <c r="G1142" s="1"/>
  <c r="F1141"/>
  <c r="G1141" s="1"/>
  <c r="F1140"/>
  <c r="G1140" s="1"/>
  <c r="F1128"/>
  <c r="H1128" s="1"/>
  <c r="F1127"/>
  <c r="H1127" s="1"/>
  <c r="F1126"/>
  <c r="H1126" s="1"/>
  <c r="F1125"/>
  <c r="H1125" s="1"/>
  <c r="F1124"/>
  <c r="B1124"/>
  <c r="F1123"/>
  <c r="H1123" s="1"/>
  <c r="F1120"/>
  <c r="G1120" s="1"/>
  <c r="F1119"/>
  <c r="G1119" s="1"/>
  <c r="F1118"/>
  <c r="G1118" s="1"/>
  <c r="F1117"/>
  <c r="G1117" s="1"/>
  <c r="F1105"/>
  <c r="H1105" s="1"/>
  <c r="F1104"/>
  <c r="H1104" s="1"/>
  <c r="F1103"/>
  <c r="H1103" s="1"/>
  <c r="F1102"/>
  <c r="H1102" s="1"/>
  <c r="F1101"/>
  <c r="H1101" s="1"/>
  <c r="F1100"/>
  <c r="H1100" s="1"/>
  <c r="F1097"/>
  <c r="G1097" s="1"/>
  <c r="F1096"/>
  <c r="G1096" s="1"/>
  <c r="F1095"/>
  <c r="G1095" s="1"/>
  <c r="F1094"/>
  <c r="G1094" s="1"/>
  <c r="F1082"/>
  <c r="H1082" s="1"/>
  <c r="F1081"/>
  <c r="H1081" s="1"/>
  <c r="F1080"/>
  <c r="H1080" s="1"/>
  <c r="F1079"/>
  <c r="H1079" s="1"/>
  <c r="F1076"/>
  <c r="G1076" s="1"/>
  <c r="F1075"/>
  <c r="G1075" s="1"/>
  <c r="F1074"/>
  <c r="G1074" s="1"/>
  <c r="F1073"/>
  <c r="G1073" s="1"/>
  <c r="F1061"/>
  <c r="H1061" s="1"/>
  <c r="F1060"/>
  <c r="H1060" s="1"/>
  <c r="F1059"/>
  <c r="H1059" s="1"/>
  <c r="F1058"/>
  <c r="H1058" s="1"/>
  <c r="F1057"/>
  <c r="H1057" s="1"/>
  <c r="F1056"/>
  <c r="H1056" s="1"/>
  <c r="F1053"/>
  <c r="G1053" s="1"/>
  <c r="F1052"/>
  <c r="G1052" s="1"/>
  <c r="F1051"/>
  <c r="G1051" s="1"/>
  <c r="F1050"/>
  <c r="G1050" s="1"/>
  <c r="F1038"/>
  <c r="H1038" s="1"/>
  <c r="F1037"/>
  <c r="H1037" s="1"/>
  <c r="F1036"/>
  <c r="H1036" s="1"/>
  <c r="F1035"/>
  <c r="H1035" s="1"/>
  <c r="F1034"/>
  <c r="H1034" s="1"/>
  <c r="F1033"/>
  <c r="H1033" s="1"/>
  <c r="F1030"/>
  <c r="G1030" s="1"/>
  <c r="F1029"/>
  <c r="G1029" s="1"/>
  <c r="F1028"/>
  <c r="G1028" s="1"/>
  <c r="F1027"/>
  <c r="G1027" s="1"/>
  <c r="F1016"/>
  <c r="H1016" s="1"/>
  <c r="F1015"/>
  <c r="H1015" s="1"/>
  <c r="F1014"/>
  <c r="H1014" s="1"/>
  <c r="F1013"/>
  <c r="H1013" s="1"/>
  <c r="F1012"/>
  <c r="H1012" s="1"/>
  <c r="F1011"/>
  <c r="H1011" s="1"/>
  <c r="F1008"/>
  <c r="G1008" s="1"/>
  <c r="F1007"/>
  <c r="G1007" s="1"/>
  <c r="F1006"/>
  <c r="G1006" s="1"/>
  <c r="F1005"/>
  <c r="G1005" s="1"/>
  <c r="F994"/>
  <c r="H994" s="1"/>
  <c r="F993"/>
  <c r="H993" s="1"/>
  <c r="F992"/>
  <c r="H992" s="1"/>
  <c r="F991"/>
  <c r="H991" s="1"/>
  <c r="F990"/>
  <c r="H990" s="1"/>
  <c r="F989"/>
  <c r="H989" s="1"/>
  <c r="F986"/>
  <c r="G986" s="1"/>
  <c r="F985"/>
  <c r="G985" s="1"/>
  <c r="F984"/>
  <c r="G984" s="1"/>
  <c r="F983"/>
  <c r="G983" s="1"/>
  <c r="F971"/>
  <c r="H971" s="1"/>
  <c r="F970"/>
  <c r="H970" s="1"/>
  <c r="F969"/>
  <c r="H969" s="1"/>
  <c r="F968"/>
  <c r="H968" s="1"/>
  <c r="F967"/>
  <c r="H967" s="1"/>
  <c r="F966"/>
  <c r="H966" s="1"/>
  <c r="F963"/>
  <c r="G963" s="1"/>
  <c r="F962"/>
  <c r="G962" s="1"/>
  <c r="F961"/>
  <c r="G961" s="1"/>
  <c r="F960"/>
  <c r="G960" s="1"/>
  <c r="F948"/>
  <c r="H948" s="1"/>
  <c r="F947"/>
  <c r="H947" s="1"/>
  <c r="F946"/>
  <c r="H946" s="1"/>
  <c r="F945"/>
  <c r="H945" s="1"/>
  <c r="F944"/>
  <c r="H944" s="1"/>
  <c r="F943"/>
  <c r="H943" s="1"/>
  <c r="F942"/>
  <c r="H942" s="1"/>
  <c r="F941"/>
  <c r="H941" s="1"/>
  <c r="F938"/>
  <c r="G938" s="1"/>
  <c r="F937"/>
  <c r="G937" s="1"/>
  <c r="F936"/>
  <c r="G936" s="1"/>
  <c r="F935"/>
  <c r="G935" s="1"/>
  <c r="F923"/>
  <c r="H923" s="1"/>
  <c r="F922"/>
  <c r="H922" s="1"/>
  <c r="F921"/>
  <c r="H921" s="1"/>
  <c r="F920"/>
  <c r="H920" s="1"/>
  <c r="F919"/>
  <c r="H919" s="1"/>
  <c r="F918"/>
  <c r="H918" s="1"/>
  <c r="F917"/>
  <c r="H917" s="1"/>
  <c r="F916"/>
  <c r="H916" s="1"/>
  <c r="F913"/>
  <c r="G913" s="1"/>
  <c r="F912"/>
  <c r="G912" s="1"/>
  <c r="F911"/>
  <c r="G911" s="1"/>
  <c r="F910"/>
  <c r="G910" s="1"/>
  <c r="F898"/>
  <c r="H898" s="1"/>
  <c r="F897"/>
  <c r="H897" s="1"/>
  <c r="F896"/>
  <c r="H896" s="1"/>
  <c r="F895"/>
  <c r="H895" s="1"/>
  <c r="F894"/>
  <c r="H894" s="1"/>
  <c r="F893"/>
  <c r="H893" s="1"/>
  <c r="F892"/>
  <c r="H892" s="1"/>
  <c r="F891"/>
  <c r="H891" s="1"/>
  <c r="F888"/>
  <c r="G888" s="1"/>
  <c r="F887"/>
  <c r="G887" s="1"/>
  <c r="F886"/>
  <c r="G886" s="1"/>
  <c r="F885"/>
  <c r="G885" s="1"/>
  <c r="F874"/>
  <c r="H874" s="1"/>
  <c r="F873"/>
  <c r="H873" s="1"/>
  <c r="F872"/>
  <c r="H872" s="1"/>
  <c r="F871"/>
  <c r="H871" s="1"/>
  <c r="F870"/>
  <c r="H870" s="1"/>
  <c r="F867"/>
  <c r="G867" s="1"/>
  <c r="F866"/>
  <c r="G866" s="1"/>
  <c r="F865"/>
  <c r="G865" s="1"/>
  <c r="F864"/>
  <c r="G864" s="1"/>
  <c r="F852"/>
  <c r="H852" s="1"/>
  <c r="F851"/>
  <c r="H851" s="1"/>
  <c r="F850"/>
  <c r="H850" s="1"/>
  <c r="F849"/>
  <c r="H849" s="1"/>
  <c r="F848"/>
  <c r="H848" s="1"/>
  <c r="F847"/>
  <c r="H847" s="1"/>
  <c r="F846"/>
  <c r="H846" s="1"/>
  <c r="F843"/>
  <c r="G843" s="1"/>
  <c r="F842"/>
  <c r="G842" s="1"/>
  <c r="F841"/>
  <c r="G841" s="1"/>
  <c r="F840"/>
  <c r="G840" s="1"/>
  <c r="F828"/>
  <c r="H828" s="1"/>
  <c r="F827"/>
  <c r="H827" s="1"/>
  <c r="F826"/>
  <c r="H826" s="1"/>
  <c r="F825"/>
  <c r="H825" s="1"/>
  <c r="F824"/>
  <c r="H824" s="1"/>
  <c r="F823"/>
  <c r="H823" s="1"/>
  <c r="F822"/>
  <c r="H822" s="1"/>
  <c r="F819"/>
  <c r="G819" s="1"/>
  <c r="F818"/>
  <c r="G818" s="1"/>
  <c r="F817"/>
  <c r="G817" s="1"/>
  <c r="F816"/>
  <c r="G816" s="1"/>
  <c r="F805"/>
  <c r="H805" s="1"/>
  <c r="F804"/>
  <c r="H804" s="1"/>
  <c r="F803"/>
  <c r="H803" s="1"/>
  <c r="F802"/>
  <c r="H802" s="1"/>
  <c r="F799"/>
  <c r="G799" s="1"/>
  <c r="F798"/>
  <c r="G798" s="1"/>
  <c r="F797"/>
  <c r="G797" s="1"/>
  <c r="F796"/>
  <c r="G796" s="1"/>
  <c r="F784"/>
  <c r="H784" s="1"/>
  <c r="I785" s="1"/>
  <c r="F781"/>
  <c r="G781" s="1"/>
  <c r="F780"/>
  <c r="G780" s="1"/>
  <c r="F779"/>
  <c r="G779" s="1"/>
  <c r="F778"/>
  <c r="G778" s="1"/>
  <c r="F766"/>
  <c r="H766" s="1"/>
  <c r="F765"/>
  <c r="H765" s="1"/>
  <c r="F762"/>
  <c r="G762" s="1"/>
  <c r="F761"/>
  <c r="G761" s="1"/>
  <c r="F760"/>
  <c r="G760" s="1"/>
  <c r="F759"/>
  <c r="G759" s="1"/>
  <c r="F747"/>
  <c r="H747" s="1"/>
  <c r="F746"/>
  <c r="H746" s="1"/>
  <c r="F745"/>
  <c r="H745" s="1"/>
  <c r="F742"/>
  <c r="G742" s="1"/>
  <c r="F741"/>
  <c r="G741" s="1"/>
  <c r="F740"/>
  <c r="G740" s="1"/>
  <c r="F739"/>
  <c r="G739" s="1"/>
  <c r="F728"/>
  <c r="H728" s="1"/>
  <c r="F727"/>
  <c r="H727" s="1"/>
  <c r="F726"/>
  <c r="H726" s="1"/>
  <c r="F724"/>
  <c r="G724" s="1"/>
  <c r="F723"/>
  <c r="G723" s="1"/>
  <c r="F722"/>
  <c r="G722" s="1"/>
  <c r="F721"/>
  <c r="G721" s="1"/>
  <c r="F708"/>
  <c r="H708" s="1"/>
  <c r="F705"/>
  <c r="G705" s="1"/>
  <c r="F704"/>
  <c r="G704" s="1"/>
  <c r="F703"/>
  <c r="G703" s="1"/>
  <c r="F702"/>
  <c r="G702" s="1"/>
  <c r="F689"/>
  <c r="H689" s="1"/>
  <c r="F686"/>
  <c r="G686" s="1"/>
  <c r="F685"/>
  <c r="G685" s="1"/>
  <c r="F684"/>
  <c r="G684" s="1"/>
  <c r="F683"/>
  <c r="G683" s="1"/>
  <c r="F670"/>
  <c r="H670" s="1"/>
  <c r="F669"/>
  <c r="H669" s="1"/>
  <c r="F668"/>
  <c r="H668" s="1"/>
  <c r="F665"/>
  <c r="G665" s="1"/>
  <c r="F664"/>
  <c r="G664" s="1"/>
  <c r="F663"/>
  <c r="G663" s="1"/>
  <c r="F662"/>
  <c r="G662" s="1"/>
  <c r="F651"/>
  <c r="H651" s="1"/>
  <c r="F650"/>
  <c r="H650" s="1"/>
  <c r="F649"/>
  <c r="H649" s="1"/>
  <c r="F648"/>
  <c r="H648" s="1"/>
  <c r="F645"/>
  <c r="G645" s="1"/>
  <c r="F644"/>
  <c r="G644" s="1"/>
  <c r="F643"/>
  <c r="G643" s="1"/>
  <c r="F642"/>
  <c r="G642" s="1"/>
  <c r="F631"/>
  <c r="H631" s="1"/>
  <c r="F630"/>
  <c r="H630" s="1"/>
  <c r="F629"/>
  <c r="H629" s="1"/>
  <c r="F628"/>
  <c r="H628" s="1"/>
  <c r="F625"/>
  <c r="G625" s="1"/>
  <c r="F624"/>
  <c r="G624" s="1"/>
  <c r="F623"/>
  <c r="G623" s="1"/>
  <c r="F622"/>
  <c r="G622" s="1"/>
  <c r="F610"/>
  <c r="H610" s="1"/>
  <c r="F609"/>
  <c r="H609" s="1"/>
  <c r="F608"/>
  <c r="H608" s="1"/>
  <c r="F607"/>
  <c r="H607" s="1"/>
  <c r="F604"/>
  <c r="G604" s="1"/>
  <c r="F603"/>
  <c r="G603" s="1"/>
  <c r="F602"/>
  <c r="G602" s="1"/>
  <c r="F601"/>
  <c r="G601" s="1"/>
  <c r="F589"/>
  <c r="H589" s="1"/>
  <c r="F588"/>
  <c r="H588" s="1"/>
  <c r="F587"/>
  <c r="H587" s="1"/>
  <c r="F586"/>
  <c r="H586" s="1"/>
  <c r="F583"/>
  <c r="G583" s="1"/>
  <c r="F582"/>
  <c r="G582" s="1"/>
  <c r="F581"/>
  <c r="G581" s="1"/>
  <c r="F580"/>
  <c r="G580" s="1"/>
  <c r="F570"/>
  <c r="H570" s="1"/>
  <c r="F569"/>
  <c r="H569" s="1"/>
  <c r="F568"/>
  <c r="H568" s="1"/>
  <c r="F565"/>
  <c r="G565" s="1"/>
  <c r="F564"/>
  <c r="G564" s="1"/>
  <c r="F563"/>
  <c r="G563" s="1"/>
  <c r="F562"/>
  <c r="G562" s="1"/>
  <c r="F552"/>
  <c r="H552" s="1"/>
  <c r="F551"/>
  <c r="H551" s="1"/>
  <c r="F550"/>
  <c r="H550" s="1"/>
  <c r="F548"/>
  <c r="G548" s="1"/>
  <c r="F547"/>
  <c r="G547" s="1"/>
  <c r="F546"/>
  <c r="G546" s="1"/>
  <c r="F545"/>
  <c r="G545" s="1"/>
  <c r="F534"/>
  <c r="H534" s="1"/>
  <c r="F533"/>
  <c r="H533" s="1"/>
  <c r="F532"/>
  <c r="H532" s="1"/>
  <c r="F529"/>
  <c r="G529" s="1"/>
  <c r="F528"/>
  <c r="G528" s="1"/>
  <c r="F527"/>
  <c r="G527" s="1"/>
  <c r="F526"/>
  <c r="G526" s="1"/>
  <c r="F515"/>
  <c r="H515" s="1"/>
  <c r="F514"/>
  <c r="H514" s="1"/>
  <c r="F513"/>
  <c r="H513" s="1"/>
  <c r="F510"/>
  <c r="G510" s="1"/>
  <c r="F509"/>
  <c r="G509" s="1"/>
  <c r="F508"/>
  <c r="G508" s="1"/>
  <c r="F507"/>
  <c r="G507" s="1"/>
  <c r="F496"/>
  <c r="H496" s="1"/>
  <c r="F495"/>
  <c r="H495" s="1"/>
  <c r="F492"/>
  <c r="G492" s="1"/>
  <c r="F491"/>
  <c r="G491" s="1"/>
  <c r="F490"/>
  <c r="G490" s="1"/>
  <c r="F489"/>
  <c r="G489" s="1"/>
  <c r="F478"/>
  <c r="H478" s="1"/>
  <c r="F477"/>
  <c r="H477" s="1"/>
  <c r="F475"/>
  <c r="G475" s="1"/>
  <c r="F474"/>
  <c r="G474" s="1"/>
  <c r="F473"/>
  <c r="G473" s="1"/>
  <c r="F472"/>
  <c r="G472" s="1"/>
  <c r="F461"/>
  <c r="H461" s="1"/>
  <c r="F460"/>
  <c r="H460" s="1"/>
  <c r="F459"/>
  <c r="H459" s="1"/>
  <c r="F456"/>
  <c r="G456" s="1"/>
  <c r="F455"/>
  <c r="G455" s="1"/>
  <c r="F454"/>
  <c r="G454" s="1"/>
  <c r="F453"/>
  <c r="G453" s="1"/>
  <c r="F441"/>
  <c r="H441" s="1"/>
  <c r="F440"/>
  <c r="H440" s="1"/>
  <c r="F439"/>
  <c r="H439" s="1"/>
  <c r="F436"/>
  <c r="G436" s="1"/>
  <c r="F435"/>
  <c r="G435" s="1"/>
  <c r="F434"/>
  <c r="G434" s="1"/>
  <c r="F433"/>
  <c r="G433" s="1"/>
  <c r="F421"/>
  <c r="H421" s="1"/>
  <c r="I422" s="1"/>
  <c r="F418"/>
  <c r="G418" s="1"/>
  <c r="F417"/>
  <c r="G417" s="1"/>
  <c r="F416"/>
  <c r="G416" s="1"/>
  <c r="F415"/>
  <c r="G415" s="1"/>
  <c r="F404"/>
  <c r="H404" s="1"/>
  <c r="I405" s="1"/>
  <c r="F401"/>
  <c r="B401"/>
  <c r="F400"/>
  <c r="B400"/>
  <c r="F399"/>
  <c r="B399"/>
  <c r="F398"/>
  <c r="B398"/>
  <c r="G390"/>
  <c r="I391" s="1"/>
  <c r="I388"/>
  <c r="F385"/>
  <c r="B385"/>
  <c r="F384"/>
  <c r="B384"/>
  <c r="F383"/>
  <c r="B383"/>
  <c r="F382"/>
  <c r="B382"/>
  <c r="G374"/>
  <c r="I375" s="1"/>
  <c r="F371"/>
  <c r="H371" s="1"/>
  <c r="I372" s="1"/>
  <c r="F368"/>
  <c r="B368"/>
  <c r="F367"/>
  <c r="B367"/>
  <c r="K366"/>
  <c r="F366"/>
  <c r="B366"/>
  <c r="K365"/>
  <c r="F365"/>
  <c r="B365"/>
  <c r="G357"/>
  <c r="I358" s="1"/>
  <c r="F354"/>
  <c r="B354"/>
  <c r="F353"/>
  <c r="B353"/>
  <c r="F350"/>
  <c r="G350" s="1"/>
  <c r="F349"/>
  <c r="G349" s="1"/>
  <c r="F348"/>
  <c r="G348" s="1"/>
  <c r="F347"/>
  <c r="G347" s="1"/>
  <c r="F336"/>
  <c r="H336" s="1"/>
  <c r="F335"/>
  <c r="H335" s="1"/>
  <c r="F334"/>
  <c r="H334" s="1"/>
  <c r="F331"/>
  <c r="G331" s="1"/>
  <c r="F330"/>
  <c r="G330" s="1"/>
  <c r="F329"/>
  <c r="G329" s="1"/>
  <c r="F328"/>
  <c r="G328" s="1"/>
  <c r="F317"/>
  <c r="H317" s="1"/>
  <c r="F316"/>
  <c r="H316" s="1"/>
  <c r="F314"/>
  <c r="H314" s="1"/>
  <c r="G311"/>
  <c r="G310"/>
  <c r="G309"/>
  <c r="G308"/>
  <c r="F269"/>
  <c r="B269"/>
  <c r="F268"/>
  <c r="B268"/>
  <c r="F267"/>
  <c r="B267"/>
  <c r="F266"/>
  <c r="H266" s="1"/>
  <c r="F265"/>
  <c r="H265" s="1"/>
  <c r="F264"/>
  <c r="B264"/>
  <c r="G261"/>
  <c r="G259"/>
  <c r="G258"/>
  <c r="F244"/>
  <c r="B244"/>
  <c r="F243"/>
  <c r="B243"/>
  <c r="F242"/>
  <c r="B242"/>
  <c r="F241"/>
  <c r="H241" s="1"/>
  <c r="F240"/>
  <c r="H240" s="1"/>
  <c r="F239"/>
  <c r="H239" s="1"/>
  <c r="B239"/>
  <c r="G236"/>
  <c r="G234"/>
  <c r="G233"/>
  <c r="F219"/>
  <c r="B219"/>
  <c r="F218"/>
  <c r="B218"/>
  <c r="F217"/>
  <c r="B217"/>
  <c r="F216"/>
  <c r="H216" s="1"/>
  <c r="F215"/>
  <c r="H215" s="1"/>
  <c r="F214"/>
  <c r="B214"/>
  <c r="G211"/>
  <c r="G209"/>
  <c r="G208"/>
  <c r="F194"/>
  <c r="B194"/>
  <c r="F193"/>
  <c r="H193" s="1"/>
  <c r="B193"/>
  <c r="F192"/>
  <c r="B192"/>
  <c r="F191"/>
  <c r="H191" s="1"/>
  <c r="F190"/>
  <c r="H190" s="1"/>
  <c r="F189"/>
  <c r="B189"/>
  <c r="G186"/>
  <c r="G184"/>
  <c r="G183"/>
  <c r="F170"/>
  <c r="H170" s="1"/>
  <c r="F169"/>
  <c r="H169" s="1"/>
  <c r="G166"/>
  <c r="G165"/>
  <c r="G164"/>
  <c r="G163"/>
  <c r="F145"/>
  <c r="H145" s="1"/>
  <c r="F142"/>
  <c r="G142" s="1"/>
  <c r="F141"/>
  <c r="G141" s="1"/>
  <c r="F140"/>
  <c r="G140" s="1"/>
  <c r="F139"/>
  <c r="G139" s="1"/>
  <c r="F126"/>
  <c r="H126" s="1"/>
  <c r="I128" s="1"/>
  <c r="F123"/>
  <c r="G123" s="1"/>
  <c r="F122"/>
  <c r="G122" s="1"/>
  <c r="F110"/>
  <c r="G110" s="1"/>
  <c r="F109"/>
  <c r="G109" s="1"/>
  <c r="F97"/>
  <c r="G97" s="1"/>
  <c r="F96"/>
  <c r="G96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1"/>
  <c r="G71" s="1"/>
  <c r="F70"/>
  <c r="G70" s="1"/>
  <c r="F69"/>
  <c r="G69" s="1"/>
  <c r="F68"/>
  <c r="G68" s="1"/>
  <c r="F67"/>
  <c r="G6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6"/>
  <c r="G46" s="1"/>
  <c r="F45"/>
  <c r="G45" s="1"/>
  <c r="F44"/>
  <c r="G44" s="1"/>
  <c r="F43"/>
  <c r="G43" s="1"/>
  <c r="F31"/>
  <c r="G31" s="1"/>
  <c r="F30"/>
  <c r="G30" s="1"/>
  <c r="F18"/>
  <c r="H18" s="1"/>
  <c r="F17"/>
  <c r="H17" s="1"/>
  <c r="F16"/>
  <c r="H16" s="1"/>
  <c r="F13"/>
  <c r="G13" s="1"/>
  <c r="F12"/>
  <c r="G12" s="1"/>
  <c r="F11"/>
  <c r="G11" s="1"/>
  <c r="F10"/>
  <c r="G10" s="1"/>
  <c r="I1301" l="1"/>
  <c r="I57"/>
  <c r="I143"/>
  <c r="H189"/>
  <c r="H243"/>
  <c r="G382"/>
  <c r="G384"/>
  <c r="I1316"/>
  <c r="I584"/>
  <c r="I611"/>
  <c r="I626"/>
  <c r="I1144"/>
  <c r="H1225"/>
  <c r="I1241"/>
  <c r="I1279"/>
  <c r="I1287" s="1"/>
  <c r="I1288" s="1"/>
  <c r="I1289" s="1"/>
  <c r="I1336"/>
  <c r="I1344"/>
  <c r="I1359"/>
  <c r="I1365"/>
  <c r="I1380"/>
  <c r="I1400"/>
  <c r="I1673"/>
  <c r="L366"/>
  <c r="H214"/>
  <c r="H218"/>
  <c r="H264"/>
  <c r="H268"/>
  <c r="K368"/>
  <c r="G366"/>
  <c r="G399"/>
  <c r="G401"/>
  <c r="H1124"/>
  <c r="H1244"/>
  <c r="H1262"/>
  <c r="H1384"/>
  <c r="I1385" s="1"/>
  <c r="I1390" s="1"/>
  <c r="I1391" s="1"/>
  <c r="I1392" s="1"/>
  <c r="H1402"/>
  <c r="L97" i="18"/>
  <c r="L99" s="1"/>
  <c r="I899" i="9"/>
  <c r="I914"/>
  <c r="I949"/>
  <c r="I964"/>
  <c r="I995"/>
  <c r="I652"/>
  <c r="I666"/>
  <c r="I868"/>
  <c r="I875"/>
  <c r="I1129"/>
  <c r="F1132" s="1"/>
  <c r="G1132" s="1"/>
  <c r="I1133" s="1"/>
  <c r="I1031"/>
  <c r="I1054"/>
  <c r="I1083"/>
  <c r="I1098"/>
  <c r="I1009"/>
  <c r="H1147"/>
  <c r="I1150" s="1"/>
  <c r="F1153" s="1"/>
  <c r="G1153" s="1"/>
  <c r="I1154" s="1"/>
  <c r="I1165"/>
  <c r="I1169"/>
  <c r="I1174" s="1"/>
  <c r="I1175" s="1"/>
  <c r="I1176" s="1"/>
  <c r="I1184"/>
  <c r="I1188"/>
  <c r="I1203"/>
  <c r="I1207"/>
  <c r="I1212" s="1"/>
  <c r="I1213" s="1"/>
  <c r="I1214" s="1"/>
  <c r="I1222"/>
  <c r="H1224"/>
  <c r="I1226" s="1"/>
  <c r="I14"/>
  <c r="I167"/>
  <c r="I72"/>
  <c r="I571"/>
  <c r="I1425"/>
  <c r="I1460"/>
  <c r="F1462" s="1"/>
  <c r="G1462" s="1"/>
  <c r="I1464" s="1"/>
  <c r="I1485"/>
  <c r="F1487" s="1"/>
  <c r="G1487" s="1"/>
  <c r="I1489" s="1"/>
  <c r="I476"/>
  <c r="I497"/>
  <c r="I511"/>
  <c r="I549"/>
  <c r="I553"/>
  <c r="I687"/>
  <c r="I729"/>
  <c r="I332"/>
  <c r="I419"/>
  <c r="I427" s="1"/>
  <c r="I428" s="1"/>
  <c r="I429" s="1"/>
  <c r="I462"/>
  <c r="I743"/>
  <c r="I806"/>
  <c r="I820"/>
  <c r="I351"/>
  <c r="H353"/>
  <c r="G383"/>
  <c r="G385"/>
  <c r="I437"/>
  <c r="I530"/>
  <c r="I535"/>
  <c r="I706"/>
  <c r="I763"/>
  <c r="I844"/>
  <c r="I1510"/>
  <c r="F1512" s="1"/>
  <c r="G1512" s="1"/>
  <c r="I1514" s="1"/>
  <c r="I1535"/>
  <c r="F1537" s="1"/>
  <c r="G1537" s="1"/>
  <c r="I1539" s="1"/>
  <c r="I1560"/>
  <c r="F1562" s="1"/>
  <c r="G1562" s="1"/>
  <c r="I1564" s="1"/>
  <c r="I1585"/>
  <c r="F1587" s="1"/>
  <c r="G1587" s="1"/>
  <c r="I1589" s="1"/>
  <c r="I1610"/>
  <c r="F1612" s="1"/>
  <c r="G1612" s="1"/>
  <c r="I1614" s="1"/>
  <c r="I1635"/>
  <c r="F1637" s="1"/>
  <c r="G1637" s="1"/>
  <c r="I1639" s="1"/>
  <c r="I1659"/>
  <c r="F1660" s="1"/>
  <c r="G1660" s="1"/>
  <c r="I1662" s="1"/>
  <c r="I1450"/>
  <c r="I1465" s="1"/>
  <c r="I1466" s="1"/>
  <c r="I1467" s="1"/>
  <c r="I1475"/>
  <c r="I1500"/>
  <c r="I1525"/>
  <c r="I1550"/>
  <c r="I1575"/>
  <c r="I1600"/>
  <c r="I1625"/>
  <c r="I1650"/>
  <c r="I1696"/>
  <c r="I1715"/>
  <c r="I1723" s="1"/>
  <c r="I1724" s="1"/>
  <c r="I1725" s="1"/>
  <c r="I767"/>
  <c r="I782"/>
  <c r="I790" s="1"/>
  <c r="I791" s="1"/>
  <c r="I792" s="1"/>
  <c r="I853"/>
  <c r="I19"/>
  <c r="I23" s="1"/>
  <c r="I24" s="1"/>
  <c r="I25" s="1"/>
  <c r="I171"/>
  <c r="H192"/>
  <c r="H194"/>
  <c r="H217"/>
  <c r="H219"/>
  <c r="H242"/>
  <c r="H244"/>
  <c r="H267"/>
  <c r="H269"/>
  <c r="I312"/>
  <c r="I337"/>
  <c r="H354"/>
  <c r="I355" s="1"/>
  <c r="I359" s="1"/>
  <c r="I360" s="1"/>
  <c r="I361" s="1"/>
  <c r="G365"/>
  <c r="G367"/>
  <c r="G368"/>
  <c r="G398"/>
  <c r="G400"/>
  <c r="H1243"/>
  <c r="I1245" s="1"/>
  <c r="I1250" s="1"/>
  <c r="I1251" s="1"/>
  <c r="I1252" s="1"/>
  <c r="H1263"/>
  <c r="H1427"/>
  <c r="I1435" s="1"/>
  <c r="I1349"/>
  <c r="I1350" s="1"/>
  <c r="I1351" s="1"/>
  <c r="I442"/>
  <c r="I457"/>
  <c r="I479"/>
  <c r="I493"/>
  <c r="I516"/>
  <c r="I1062"/>
  <c r="I1077"/>
  <c r="I1088" s="1"/>
  <c r="I1089" s="1"/>
  <c r="I1090" s="1"/>
  <c r="I1106"/>
  <c r="I1111" s="1"/>
  <c r="I1112" s="1"/>
  <c r="I1113" s="1"/>
  <c r="I1121"/>
  <c r="I1260"/>
  <c r="I1297"/>
  <c r="I1306" s="1"/>
  <c r="I1307" s="1"/>
  <c r="I1308" s="1"/>
  <c r="I1321"/>
  <c r="I1410"/>
  <c r="F1412" s="1"/>
  <c r="G1412" s="1"/>
  <c r="I1414" s="1"/>
  <c r="I1682"/>
  <c r="F1683" s="1"/>
  <c r="G1683" s="1"/>
  <c r="I1685" s="1"/>
  <c r="I1700"/>
  <c r="F146"/>
  <c r="H146" s="1"/>
  <c r="I148" s="1"/>
  <c r="I153" s="1"/>
  <c r="I154" s="1"/>
  <c r="I155" s="1"/>
  <c r="I156" s="1"/>
  <c r="L365"/>
  <c r="L367"/>
  <c r="I32"/>
  <c r="I36" s="1"/>
  <c r="I37" s="1"/>
  <c r="I38" s="1"/>
  <c r="I47"/>
  <c r="I61" s="1"/>
  <c r="I62" s="1"/>
  <c r="I63" s="1"/>
  <c r="I85"/>
  <c r="I89" s="1"/>
  <c r="I90" s="1"/>
  <c r="I91" s="1"/>
  <c r="I98"/>
  <c r="I103" s="1"/>
  <c r="I104" s="1"/>
  <c r="I105" s="1"/>
  <c r="I111"/>
  <c r="I116" s="1"/>
  <c r="I117" s="1"/>
  <c r="I118" s="1"/>
  <c r="I124"/>
  <c r="I133" s="1"/>
  <c r="I134" s="1"/>
  <c r="I135" s="1"/>
  <c r="F315"/>
  <c r="H315" s="1"/>
  <c r="I318" s="1"/>
  <c r="I520"/>
  <c r="I521" s="1"/>
  <c r="I522" s="1"/>
  <c r="I566"/>
  <c r="I574" s="1"/>
  <c r="I575" s="1"/>
  <c r="I576" s="1"/>
  <c r="I590"/>
  <c r="I595" s="1"/>
  <c r="I596" s="1"/>
  <c r="I597" s="1"/>
  <c r="I605"/>
  <c r="I616" s="1"/>
  <c r="I617" s="1"/>
  <c r="I618" s="1"/>
  <c r="I632"/>
  <c r="I636" s="1"/>
  <c r="I637" s="1"/>
  <c r="I638" s="1"/>
  <c r="I646"/>
  <c r="I656" s="1"/>
  <c r="I657" s="1"/>
  <c r="I658" s="1"/>
  <c r="I671"/>
  <c r="I676" s="1"/>
  <c r="I677" s="1"/>
  <c r="I678" s="1"/>
  <c r="I725"/>
  <c r="I748"/>
  <c r="I800"/>
  <c r="I829"/>
  <c r="I889"/>
  <c r="I904" s="1"/>
  <c r="I905" s="1"/>
  <c r="I906" s="1"/>
  <c r="I924"/>
  <c r="I939"/>
  <c r="I954" s="1"/>
  <c r="I955" s="1"/>
  <c r="I956" s="1"/>
  <c r="I972"/>
  <c r="I987"/>
  <c r="I999" s="1"/>
  <c r="I1000" s="1"/>
  <c r="I1001" s="1"/>
  <c r="I1017"/>
  <c r="F1019" s="1"/>
  <c r="G1019" s="1"/>
  <c r="I1020" s="1"/>
  <c r="I1039"/>
  <c r="I1231"/>
  <c r="I1232" s="1"/>
  <c r="I1233" s="1"/>
  <c r="I1515"/>
  <c r="I1516" s="1"/>
  <c r="I1517" s="1"/>
  <c r="I1615"/>
  <c r="I1616" s="1"/>
  <c r="I1617" s="1"/>
  <c r="F709"/>
  <c r="H709" s="1"/>
  <c r="I710" s="1"/>
  <c r="I715" s="1"/>
  <c r="I716" s="1"/>
  <c r="I717" s="1"/>
  <c r="I483"/>
  <c r="I484" s="1"/>
  <c r="I485" s="1"/>
  <c r="I753"/>
  <c r="I754" s="1"/>
  <c r="I755" s="1"/>
  <c r="I834"/>
  <c r="I835" s="1"/>
  <c r="I836" s="1"/>
  <c r="I1044"/>
  <c r="I1045" s="1"/>
  <c r="I1046" s="1"/>
  <c r="I1264"/>
  <c r="F690"/>
  <c r="H690" s="1"/>
  <c r="I691" s="1"/>
  <c r="I1326"/>
  <c r="I1327" s="1"/>
  <c r="I1328" s="1"/>
  <c r="I1370"/>
  <c r="I1371" s="1"/>
  <c r="I1372" s="1"/>
  <c r="I1269" l="1"/>
  <c r="I1270" s="1"/>
  <c r="I1271" s="1"/>
  <c r="I733"/>
  <c r="I734" s="1"/>
  <c r="I735" s="1"/>
  <c r="I1134"/>
  <c r="I1135" s="1"/>
  <c r="I1136" s="1"/>
  <c r="I402"/>
  <c r="I409" s="1"/>
  <c r="I410" s="1"/>
  <c r="I411" s="1"/>
  <c r="I1640"/>
  <c r="I1641" s="1"/>
  <c r="I1642" s="1"/>
  <c r="I1590"/>
  <c r="I1591" s="1"/>
  <c r="I1592" s="1"/>
  <c r="I1540"/>
  <c r="I1541" s="1"/>
  <c r="I1542" s="1"/>
  <c r="I556"/>
  <c r="I557" s="1"/>
  <c r="I558" s="1"/>
  <c r="I1193"/>
  <c r="I1194" s="1"/>
  <c r="I1195" s="1"/>
  <c r="I879"/>
  <c r="I880" s="1"/>
  <c r="I881" s="1"/>
  <c r="I447"/>
  <c r="I448" s="1"/>
  <c r="I449" s="1"/>
  <c r="I929"/>
  <c r="I930" s="1"/>
  <c r="I931" s="1"/>
  <c r="I270"/>
  <c r="I1663"/>
  <c r="I1664" s="1"/>
  <c r="I1665" s="1"/>
  <c r="I1565"/>
  <c r="I1566" s="1"/>
  <c r="I1567" s="1"/>
  <c r="I977"/>
  <c r="I978" s="1"/>
  <c r="I979" s="1"/>
  <c r="I810"/>
  <c r="I811" s="1"/>
  <c r="I812" s="1"/>
  <c r="I1067"/>
  <c r="I1068" s="1"/>
  <c r="I1069" s="1"/>
  <c r="I501"/>
  <c r="I502" s="1"/>
  <c r="I503" s="1"/>
  <c r="I466"/>
  <c r="I467" s="1"/>
  <c r="I468" s="1"/>
  <c r="I176"/>
  <c r="I177" s="1"/>
  <c r="I178" s="1"/>
  <c r="I179" s="1"/>
  <c r="H14" i="10" s="1"/>
  <c r="I1490" i="9"/>
  <c r="I1491" s="1"/>
  <c r="I1492" s="1"/>
  <c r="I245"/>
  <c r="I220"/>
  <c r="I195"/>
  <c r="I858"/>
  <c r="I859" s="1"/>
  <c r="I860" s="1"/>
  <c r="I539"/>
  <c r="I540" s="1"/>
  <c r="I541" s="1"/>
  <c r="I386"/>
  <c r="I392" s="1"/>
  <c r="I393" s="1"/>
  <c r="I394" s="1"/>
  <c r="I340"/>
  <c r="I341" s="1"/>
  <c r="I342" s="1"/>
  <c r="I343" s="1"/>
  <c r="I1705"/>
  <c r="I1706" s="1"/>
  <c r="I1707" s="1"/>
  <c r="I322"/>
  <c r="I323" s="1"/>
  <c r="I324" s="1"/>
  <c r="H11" i="10" s="1"/>
  <c r="H19" s="1"/>
  <c r="I1440" i="9"/>
  <c r="I1441" s="1"/>
  <c r="I1442" s="1"/>
  <c r="I696"/>
  <c r="I697" s="1"/>
  <c r="I698" s="1"/>
  <c r="I1021"/>
  <c r="I1022" s="1"/>
  <c r="I1023" s="1"/>
  <c r="I772"/>
  <c r="I773" s="1"/>
  <c r="I774" s="1"/>
  <c r="I369"/>
  <c r="I376" s="1"/>
  <c r="I377" s="1"/>
  <c r="I378" s="1"/>
  <c r="I1686"/>
  <c r="I1687" s="1"/>
  <c r="I1688" s="1"/>
  <c r="I1415"/>
  <c r="I1416" s="1"/>
  <c r="I1417" s="1"/>
  <c r="I1155"/>
  <c r="I1156" s="1"/>
  <c r="I1157" s="1"/>
  <c r="H16" i="10" l="1"/>
  <c r="H15"/>
  <c r="I15" s="1"/>
  <c r="I14"/>
  <c r="H27"/>
  <c r="H37" s="1"/>
  <c r="H46" l="1"/>
  <c r="H54" l="1"/>
  <c r="H62" l="1"/>
  <c r="H70" l="1"/>
  <c r="H22"/>
  <c r="H24" l="1"/>
  <c r="H23"/>
  <c r="H78"/>
  <c r="H87" l="1"/>
  <c r="H98" s="1"/>
  <c r="I87" l="1"/>
  <c r="H109" l="1"/>
  <c r="I23"/>
  <c r="H30"/>
  <c r="H120" l="1"/>
  <c r="H131" s="1"/>
  <c r="H31"/>
  <c r="H32" l="1"/>
  <c r="H34" s="1"/>
  <c r="I31"/>
  <c r="H141" l="1"/>
  <c r="H147" l="1"/>
  <c r="I141"/>
  <c r="I147" l="1"/>
  <c r="H152"/>
  <c r="H40"/>
  <c r="H43" s="1"/>
  <c r="I152" l="1"/>
  <c r="H157"/>
  <c r="H162" l="1"/>
  <c r="I157"/>
  <c r="H167" l="1"/>
  <c r="I162"/>
  <c r="H173" l="1"/>
  <c r="H179" s="1"/>
  <c r="I167"/>
  <c r="H185" l="1"/>
  <c r="I179"/>
  <c r="H197"/>
  <c r="H204" s="1"/>
  <c r="I173"/>
  <c r="H49"/>
  <c r="H51" s="1"/>
  <c r="H57" s="1"/>
  <c r="I185" l="1"/>
  <c r="H191"/>
  <c r="I191" s="1"/>
  <c r="H58"/>
  <c r="H59"/>
  <c r="H65" l="1"/>
  <c r="H67" l="1"/>
  <c r="H66"/>
  <c r="H73" l="1"/>
  <c r="H75" l="1"/>
  <c r="H74"/>
  <c r="H81" l="1"/>
  <c r="H90" s="1"/>
  <c r="H92" s="1"/>
  <c r="H101" s="1"/>
  <c r="H103" s="1"/>
  <c r="H112" l="1"/>
  <c r="H114" s="1"/>
  <c r="H104"/>
  <c r="H105" s="1"/>
  <c r="H93"/>
  <c r="H94" s="1"/>
  <c r="H83"/>
  <c r="H123" l="1"/>
  <c r="H115"/>
  <c r="H116" s="1"/>
  <c r="H134" l="1"/>
  <c r="H126"/>
  <c r="H127" s="1"/>
  <c r="H136" l="1"/>
  <c r="H137" s="1"/>
  <c r="H138" s="1"/>
  <c r="H176"/>
  <c r="H182" s="1"/>
  <c r="H188" l="1"/>
  <c r="I182"/>
  <c r="I176"/>
  <c r="H200"/>
  <c r="H194" l="1"/>
  <c r="I194" s="1"/>
  <c r="I188"/>
  <c r="H201"/>
  <c r="H207" s="1"/>
  <c r="H208" l="1"/>
  <c r="G24" i="8" l="1"/>
  <c r="E24" s="1"/>
  <c r="G257"/>
  <c r="E257" s="1"/>
  <c r="E262" s="1"/>
  <c r="G255"/>
  <c r="E255" s="1"/>
  <c r="A253"/>
  <c r="A255" s="1"/>
  <c r="A256" s="1"/>
  <c r="A257" s="1"/>
  <c r="A262" s="1"/>
  <c r="G247"/>
  <c r="E247" s="1"/>
  <c r="E242"/>
  <c r="G241"/>
  <c r="E241" s="1"/>
  <c r="G240"/>
  <c r="E240" s="1"/>
  <c r="E233"/>
  <c r="E230"/>
  <c r="E226"/>
  <c r="E213"/>
  <c r="E214" s="1"/>
  <c r="E212"/>
  <c r="E211"/>
  <c r="E210"/>
  <c r="G208"/>
  <c r="E208" s="1"/>
  <c r="E207"/>
  <c r="G205"/>
  <c r="E205" s="1"/>
  <c r="E200"/>
  <c r="E199"/>
  <c r="E196"/>
  <c r="E192"/>
  <c r="E198" s="1"/>
  <c r="E191"/>
  <c r="E197" s="1"/>
  <c r="E189"/>
  <c r="G186"/>
  <c r="E186" s="1"/>
  <c r="G185"/>
  <c r="E185" s="1"/>
  <c r="E183"/>
  <c r="K182"/>
  <c r="G182"/>
  <c r="E182" s="1"/>
  <c r="E165"/>
  <c r="E153"/>
  <c r="E152"/>
  <c r="E148"/>
  <c r="E142"/>
  <c r="E141"/>
  <c r="G133"/>
  <c r="E133" s="1"/>
  <c r="G124"/>
  <c r="E124" s="1"/>
  <c r="G123"/>
  <c r="E123" s="1"/>
  <c r="G121"/>
  <c r="E121" s="1"/>
  <c r="E122" s="1"/>
  <c r="E120"/>
  <c r="E117"/>
  <c r="E116"/>
  <c r="E115"/>
  <c r="E114"/>
  <c r="E113" s="1"/>
  <c r="G107"/>
  <c r="G109" s="1"/>
  <c r="E109" s="1"/>
  <c r="G98"/>
  <c r="E98" s="1"/>
  <c r="G97"/>
  <c r="E97" s="1"/>
  <c r="E90"/>
  <c r="E91" s="1"/>
  <c r="E89"/>
  <c r="E88"/>
  <c r="E79"/>
  <c r="E78"/>
  <c r="E77"/>
  <c r="E75"/>
  <c r="E74"/>
  <c r="E73"/>
  <c r="E71"/>
  <c r="E83" s="1"/>
  <c r="E69"/>
  <c r="E67"/>
  <c r="E68" s="1"/>
  <c r="G66"/>
  <c r="E66" s="1"/>
  <c r="G65"/>
  <c r="E65" s="1"/>
  <c r="E64"/>
  <c r="G63"/>
  <c r="E63" s="1"/>
  <c r="G61"/>
  <c r="G62" s="1"/>
  <c r="E62" s="1"/>
  <c r="G56"/>
  <c r="E56" s="1"/>
  <c r="G53"/>
  <c r="E53" s="1"/>
  <c r="E50"/>
  <c r="G45"/>
  <c r="G46" s="1"/>
  <c r="E39"/>
  <c r="G36"/>
  <c r="E36" s="1"/>
  <c r="E37" s="1"/>
  <c r="G31"/>
  <c r="G32" s="1"/>
  <c r="G28"/>
  <c r="E28" s="1"/>
  <c r="G26"/>
  <c r="E26" s="1"/>
  <c r="G25"/>
  <c r="E25" s="1"/>
  <c r="A25"/>
  <c r="A26" s="1"/>
  <c r="A28" s="1"/>
  <c r="A31" s="1"/>
  <c r="A32" s="1"/>
  <c r="A33" s="1"/>
  <c r="A34" s="1"/>
  <c r="A36" s="1"/>
  <c r="A37" s="1"/>
  <c r="A45" s="1"/>
  <c r="A46" s="1"/>
  <c r="A47" s="1"/>
  <c r="A50" s="1"/>
  <c r="A53" s="1"/>
  <c r="A56" s="1"/>
  <c r="A58" s="1"/>
  <c r="A59" s="1"/>
  <c r="A61" s="1"/>
  <c r="A62" s="1"/>
  <c r="A63" s="1"/>
  <c r="A64" s="1"/>
  <c r="A65" s="1"/>
  <c r="A66" s="1"/>
  <c r="A67" s="1"/>
  <c r="A68" s="1"/>
  <c r="A69" s="1"/>
  <c r="A71" s="1"/>
  <c r="A73" s="1"/>
  <c r="A74" s="1"/>
  <c r="A75" s="1"/>
  <c r="A77" s="1"/>
  <c r="A78" s="1"/>
  <c r="A79" s="1"/>
  <c r="A81" s="1"/>
  <c r="A83" s="1"/>
  <c r="A88" s="1"/>
  <c r="A89" s="1"/>
  <c r="A90" s="1"/>
  <c r="A91" s="1"/>
  <c r="A97" s="1"/>
  <c r="A98" s="1"/>
  <c r="A109" s="1"/>
  <c r="A110" s="1"/>
  <c r="A113" s="1"/>
  <c r="A114" s="1"/>
  <c r="A115" s="1"/>
  <c r="A116" s="1"/>
  <c r="A117" s="1"/>
  <c r="A120" s="1"/>
  <c r="A121" s="1"/>
  <c r="A122" s="1"/>
  <c r="A123" s="1"/>
  <c r="A124" s="1"/>
  <c r="A133" s="1"/>
  <c r="A141" s="1"/>
  <c r="A142" s="1"/>
  <c r="A148" s="1"/>
  <c r="A152" s="1"/>
  <c r="A153" s="1"/>
  <c r="A165" s="1"/>
  <c r="A182" s="1"/>
  <c r="A183" s="1"/>
  <c r="A185" s="1"/>
  <c r="A186" s="1"/>
  <c r="A189" s="1"/>
  <c r="A191" s="1"/>
  <c r="A192" s="1"/>
  <c r="A196" s="1"/>
  <c r="A197" s="1"/>
  <c r="A198" s="1"/>
  <c r="A199" s="1"/>
  <c r="A200" s="1"/>
  <c r="A205" s="1"/>
  <c r="A207" s="1"/>
  <c r="A208" s="1"/>
  <c r="A210" s="1"/>
  <c r="A211" s="1"/>
  <c r="A212" s="1"/>
  <c r="A213" s="1"/>
  <c r="A214" s="1"/>
  <c r="A226" s="1"/>
  <c r="A230" s="1"/>
  <c r="A233" s="1"/>
  <c r="A240" s="1"/>
  <c r="A241" s="1"/>
  <c r="A242" s="1"/>
  <c r="A247" s="1"/>
  <c r="E21"/>
  <c r="E12"/>
  <c r="E13" l="1"/>
  <c r="E14" s="1"/>
  <c r="E15" s="1"/>
  <c r="E16" s="1"/>
  <c r="E61"/>
  <c r="G33"/>
  <c r="E32"/>
  <c r="E256"/>
  <c r="E253"/>
  <c r="E252"/>
  <c r="G47"/>
  <c r="E47" s="1"/>
  <c r="E46"/>
  <c r="E31"/>
  <c r="E45"/>
  <c r="G110"/>
  <c r="E110" s="1"/>
  <c r="F210" i="9" l="1"/>
  <c r="G185"/>
  <c r="I187" s="1"/>
  <c r="I200" s="1"/>
  <c r="I201" s="1"/>
  <c r="I202" s="1"/>
  <c r="I203" s="1"/>
  <c r="H12" i="10" s="1"/>
  <c r="G34" i="8"/>
  <c r="E34" s="1"/>
  <c r="E33"/>
  <c r="F235" i="9" l="1"/>
  <c r="G210"/>
  <c r="I212" s="1"/>
  <c r="I225" s="1"/>
  <c r="I226" s="1"/>
  <c r="I227" s="1"/>
  <c r="I228" s="1"/>
  <c r="H20" i="10"/>
  <c r="I20" s="1"/>
  <c r="AH26" i="6"/>
  <c r="V23"/>
  <c r="R23"/>
  <c r="N23"/>
  <c r="E19" i="15" l="1"/>
  <c r="H28" i="10"/>
  <c r="F260" i="9"/>
  <c r="G235"/>
  <c r="I237" s="1"/>
  <c r="I250" s="1"/>
  <c r="I251" s="1"/>
  <c r="I252" s="1"/>
  <c r="I253" s="1"/>
  <c r="H88" i="10" s="1"/>
  <c r="H99" s="1"/>
  <c r="AH31" i="6"/>
  <c r="F285" i="9" l="1"/>
  <c r="G285" s="1"/>
  <c r="I287" s="1"/>
  <c r="I300" s="1"/>
  <c r="I301" s="1"/>
  <c r="I302" s="1"/>
  <c r="I303" s="1"/>
  <c r="H198" i="10" s="1"/>
  <c r="H205" s="1"/>
  <c r="G260" i="9"/>
  <c r="I262" s="1"/>
  <c r="I275" s="1"/>
  <c r="I276" s="1"/>
  <c r="I277" s="1"/>
  <c r="I278" s="1"/>
  <c r="H142" i="10" s="1"/>
  <c r="H38"/>
  <c r="H110" l="1"/>
  <c r="H47"/>
  <c r="H55" s="1"/>
  <c r="I142"/>
  <c r="H148"/>
  <c r="H63" l="1"/>
  <c r="I148"/>
  <c r="H153"/>
  <c r="H121"/>
  <c r="H132" s="1"/>
  <c r="H71" l="1"/>
  <c r="I153"/>
  <c r="H158"/>
  <c r="H79" l="1"/>
  <c r="I158"/>
  <c r="H163"/>
  <c r="I163" l="1"/>
  <c r="H168"/>
  <c r="I168" l="1"/>
  <c r="H174"/>
  <c r="I174" l="1"/>
  <c r="H180"/>
  <c r="H186" l="1"/>
  <c r="I180"/>
  <c r="I186" l="1"/>
  <c r="H192"/>
  <c r="I192" s="1"/>
  <c r="J194" l="1"/>
  <c r="D14" i="11" s="1"/>
  <c r="F18" i="13" s="1"/>
  <c r="AH22" i="6"/>
  <c r="D50" i="15" l="1"/>
  <c r="E50" s="1"/>
  <c r="F17" i="12"/>
  <c r="F29" i="6"/>
  <c r="I29" s="1"/>
  <c r="J29" s="1"/>
  <c r="K29" s="1"/>
  <c r="L29" s="1"/>
  <c r="M29" l="1"/>
  <c r="N29" s="1"/>
  <c r="O29" s="1"/>
  <c r="P29" s="1"/>
  <c r="Q29" l="1"/>
  <c r="R29" s="1"/>
  <c r="S29" s="1"/>
  <c r="T29" s="1"/>
  <c r="U29" l="1"/>
  <c r="V29" l="1"/>
  <c r="W29" s="1"/>
  <c r="X29" s="1"/>
  <c r="Y29" l="1"/>
  <c r="Z29" l="1"/>
  <c r="AA29" s="1"/>
  <c r="AB29" l="1"/>
  <c r="AH29" l="1"/>
  <c r="AC29"/>
  <c r="AD29" s="1"/>
  <c r="AA23"/>
  <c r="E5" i="15" l="1"/>
  <c r="I23" i="6"/>
  <c r="D54" i="15" l="1"/>
  <c r="E54" s="1"/>
  <c r="I49" i="10" l="1"/>
  <c r="I46"/>
  <c r="I137"/>
  <c r="I136"/>
  <c r="I134"/>
  <c r="I131"/>
  <c r="I121"/>
  <c r="I127"/>
  <c r="I126"/>
  <c r="I123"/>
  <c r="I120"/>
  <c r="I110"/>
  <c r="I116"/>
  <c r="I115"/>
  <c r="I114"/>
  <c r="I112"/>
  <c r="I109"/>
  <c r="I93"/>
  <c r="I92"/>
  <c r="I105"/>
  <c r="I104"/>
  <c r="I103"/>
  <c r="I99"/>
  <c r="I101"/>
  <c r="I98"/>
  <c r="I90"/>
  <c r="I79"/>
  <c r="I81"/>
  <c r="I74"/>
  <c r="I71"/>
  <c r="I70"/>
  <c r="I63"/>
  <c r="I66"/>
  <c r="I65"/>
  <c r="I58"/>
  <c r="I62"/>
  <c r="I38"/>
  <c r="I37"/>
  <c r="I30"/>
  <c r="I19"/>
  <c r="I11" l="1"/>
  <c r="I12"/>
  <c r="I22"/>
  <c r="I27"/>
  <c r="I28"/>
  <c r="I32"/>
  <c r="I138"/>
  <c r="I132"/>
  <c r="I78"/>
  <c r="I16"/>
  <c r="I47"/>
  <c r="I94"/>
  <c r="I88"/>
  <c r="I59"/>
  <c r="I51"/>
  <c r="I55"/>
  <c r="I54"/>
  <c r="I75"/>
  <c r="I83"/>
  <c r="J137" l="1"/>
  <c r="D12" i="11" s="1"/>
  <c r="F15" i="13" s="1"/>
  <c r="F14" i="12" l="1"/>
  <c r="D48" i="15"/>
  <c r="E48" s="1"/>
  <c r="F28" i="6"/>
  <c r="I28" l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l="1"/>
  <c r="AD33" s="1"/>
  <c r="I67" i="10"/>
  <c r="I57"/>
  <c r="I73"/>
  <c r="I40" l="1"/>
  <c r="I24"/>
  <c r="I34"/>
  <c r="I43" l="1"/>
  <c r="J84" s="1"/>
  <c r="D10" i="11" l="1"/>
  <c r="F11" i="12"/>
  <c r="D46" i="15" l="1"/>
  <c r="E46" s="1"/>
  <c r="F11" i="13"/>
  <c r="F27" i="6"/>
  <c r="AH28"/>
  <c r="Q27" l="1"/>
  <c r="K27"/>
  <c r="O27"/>
  <c r="I27"/>
  <c r="S27"/>
  <c r="M27"/>
  <c r="M33" s="1"/>
  <c r="M35" s="1"/>
  <c r="G27"/>
  <c r="L27" l="1"/>
  <c r="R27"/>
  <c r="Q33"/>
  <c r="Q35" s="1"/>
  <c r="J27"/>
  <c r="I33"/>
  <c r="I35" s="1"/>
  <c r="H27"/>
  <c r="H33" s="1"/>
  <c r="H35" s="1"/>
  <c r="G33"/>
  <c r="P27"/>
  <c r="P33" s="1"/>
  <c r="P35" s="1"/>
  <c r="N27" l="1"/>
  <c r="L33"/>
  <c r="L35" s="1"/>
  <c r="T27" l="1"/>
  <c r="U27" l="1"/>
  <c r="U33" s="1"/>
  <c r="U35" s="1"/>
  <c r="T33"/>
  <c r="T35" s="1"/>
  <c r="V27" l="1"/>
  <c r="W27" l="1"/>
  <c r="X27" l="1"/>
  <c r="Y27" l="1"/>
  <c r="Y33" s="1"/>
  <c r="Y35" s="1"/>
  <c r="X33"/>
  <c r="X35" s="1"/>
  <c r="Z27" l="1"/>
  <c r="AA27" l="1"/>
  <c r="AB27" l="1"/>
  <c r="AB33" s="1"/>
  <c r="AH27" l="1"/>
  <c r="AB35"/>
  <c r="G198" i="10" l="1"/>
  <c r="I198" s="1"/>
  <c r="G201"/>
  <c r="I201" s="1"/>
  <c r="G200"/>
  <c r="I200" s="1"/>
  <c r="G197"/>
  <c r="I197" s="1"/>
  <c r="G205"/>
  <c r="I205" s="1"/>
  <c r="G208"/>
  <c r="I208" s="1"/>
  <c r="G204"/>
  <c r="I204" s="1"/>
  <c r="G207"/>
  <c r="I207" s="1"/>
  <c r="J209" l="1"/>
  <c r="D16" i="11" l="1"/>
  <c r="J252" i="10"/>
  <c r="F21" i="13" l="1"/>
  <c r="F20" i="12"/>
  <c r="D52" i="15"/>
  <c r="E52" s="1"/>
  <c r="E57" s="1"/>
  <c r="F30" i="6"/>
  <c r="D18" i="11"/>
  <c r="F5" i="6" l="1"/>
  <c r="D20" i="11"/>
  <c r="D21" s="1"/>
  <c r="F25" i="13"/>
  <c r="J30" i="6"/>
  <c r="F33"/>
  <c r="F24" i="12"/>
  <c r="E11" l="1"/>
  <c r="E14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E17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K30" i="6"/>
  <c r="K33" s="1"/>
  <c r="N30"/>
  <c r="J33"/>
  <c r="E11" i="13"/>
  <c r="E18"/>
  <c r="I18" s="1"/>
  <c r="E15"/>
  <c r="I15" s="1"/>
  <c r="F12" i="6"/>
  <c r="F6"/>
  <c r="F7"/>
  <c r="F18"/>
  <c r="F19" s="1"/>
  <c r="F17"/>
  <c r="N47" i="18"/>
  <c r="C27" i="11"/>
  <c r="D27" s="1"/>
  <c r="N39" i="18"/>
  <c r="E20" i="12"/>
  <c r="J20" s="1"/>
  <c r="E21" i="13"/>
  <c r="J21" s="1"/>
  <c r="N20" i="12" l="1"/>
  <c r="K20"/>
  <c r="F23" i="6"/>
  <c r="G17"/>
  <c r="E41" i="15"/>
  <c r="AE20" i="6"/>
  <c r="AE23" s="1"/>
  <c r="AE35" s="1"/>
  <c r="J18" i="13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J35" i="6"/>
  <c r="O30"/>
  <c r="R30"/>
  <c r="N33"/>
  <c r="N35" s="1"/>
  <c r="G11" i="12"/>
  <c r="E23"/>
  <c r="K21" i="13"/>
  <c r="N21"/>
  <c r="J15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G11"/>
  <c r="E24"/>
  <c r="AB14" i="12"/>
  <c r="AB23" s="1"/>
  <c r="G24" i="13" l="1"/>
  <c r="H11"/>
  <c r="AD15"/>
  <c r="AD24" s="1"/>
  <c r="AD13" i="6" s="1"/>
  <c r="R21" i="13"/>
  <c r="O21"/>
  <c r="O33" i="6"/>
  <c r="O20" i="12"/>
  <c r="R20"/>
  <c r="G23"/>
  <c r="G25" s="1"/>
  <c r="H11"/>
  <c r="S30" i="6"/>
  <c r="S33" s="1"/>
  <c r="V30"/>
  <c r="R33"/>
  <c r="R35" s="1"/>
  <c r="D4" i="15"/>
  <c r="E4" s="1"/>
  <c r="G23" i="6"/>
  <c r="AH17"/>
  <c r="K29" i="13"/>
  <c r="L29"/>
  <c r="W30" i="6" l="1"/>
  <c r="V33"/>
  <c r="I11" i="12"/>
  <c r="H23"/>
  <c r="H25" s="1"/>
  <c r="V20"/>
  <c r="S20"/>
  <c r="G13" i="6"/>
  <c r="G14" s="1"/>
  <c r="G26" i="13"/>
  <c r="G35" i="6"/>
  <c r="V21" i="13"/>
  <c r="S21"/>
  <c r="H24"/>
  <c r="H13" i="6" s="1"/>
  <c r="H14" s="1"/>
  <c r="I11" i="13"/>
  <c r="I24" l="1"/>
  <c r="I13" i="6" s="1"/>
  <c r="I14" s="1"/>
  <c r="J11" i="13"/>
  <c r="W20" i="12"/>
  <c r="Z20"/>
  <c r="AA20" s="1"/>
  <c r="AA23" s="1"/>
  <c r="I23"/>
  <c r="I25" s="1"/>
  <c r="J11"/>
  <c r="Z30" i="6"/>
  <c r="W33"/>
  <c r="W21" i="13"/>
  <c r="L30" s="1"/>
  <c r="Z21"/>
  <c r="AA21" s="1"/>
  <c r="AC21" s="1"/>
  <c r="AC24" s="1"/>
  <c r="AC13" i="6" s="1"/>
  <c r="G37"/>
  <c r="V35"/>
  <c r="H26" i="13"/>
  <c r="I26" s="1"/>
  <c r="H37" i="6" l="1"/>
  <c r="I37" s="1"/>
  <c r="J37" s="1"/>
  <c r="J23" i="12"/>
  <c r="J25" s="1"/>
  <c r="K11"/>
  <c r="AA30" i="6"/>
  <c r="Z33"/>
  <c r="AH30"/>
  <c r="K11" i="13"/>
  <c r="J24"/>
  <c r="J13" i="6" s="1"/>
  <c r="J14" s="1"/>
  <c r="K18" s="1"/>
  <c r="J26" i="13" l="1"/>
  <c r="L11"/>
  <c r="K24"/>
  <c r="K13" i="6" s="1"/>
  <c r="K14" s="1"/>
  <c r="Z35"/>
  <c r="K26" i="13"/>
  <c r="K20" i="6"/>
  <c r="K19"/>
  <c r="K23" s="1"/>
  <c r="D8" i="15"/>
  <c r="AC30" i="6"/>
  <c r="AC33" s="1"/>
  <c r="AC35" s="1"/>
  <c r="AA33"/>
  <c r="AA35" s="1"/>
  <c r="L11" i="12"/>
  <c r="K23"/>
  <c r="K25" s="1"/>
  <c r="K35" i="6" l="1"/>
  <c r="M11" i="13"/>
  <c r="L24"/>
  <c r="L13" i="6" s="1"/>
  <c r="L14" s="1"/>
  <c r="AH33"/>
  <c r="M11" i="12"/>
  <c r="L23"/>
  <c r="L25" s="1"/>
  <c r="D9" i="15"/>
  <c r="D10"/>
  <c r="L26" i="13"/>
  <c r="D11" i="15" l="1"/>
  <c r="E11" s="1"/>
  <c r="N11" i="13"/>
  <c r="M24"/>
  <c r="M13" i="6" s="1"/>
  <c r="M14" s="1"/>
  <c r="K37"/>
  <c r="N11" i="12"/>
  <c r="M23"/>
  <c r="M25" s="1"/>
  <c r="M26" i="13"/>
  <c r="N24" l="1"/>
  <c r="N13" i="6" s="1"/>
  <c r="N14" s="1"/>
  <c r="O18" s="1"/>
  <c r="O11" i="13"/>
  <c r="O11" i="12"/>
  <c r="N23"/>
  <c r="N25" s="1"/>
  <c r="L37" i="6"/>
  <c r="M37" s="1"/>
  <c r="N37" s="1"/>
  <c r="N26" i="13"/>
  <c r="P11" i="12" l="1"/>
  <c r="O23"/>
  <c r="O25" s="1"/>
  <c r="D15" i="15"/>
  <c r="O19" i="6"/>
  <c r="O23" s="1"/>
  <c r="O20"/>
  <c r="P11" i="13"/>
  <c r="O24"/>
  <c r="O13" i="6" s="1"/>
  <c r="O14" s="1"/>
  <c r="O26" i="13" l="1"/>
  <c r="D17" i="15"/>
  <c r="D16"/>
  <c r="D18" s="1"/>
  <c r="E18" s="1"/>
  <c r="P23" i="12"/>
  <c r="P25" s="1"/>
  <c r="Q11"/>
  <c r="P24" i="13"/>
  <c r="P13" i="6" s="1"/>
  <c r="P14" s="1"/>
  <c r="Q11" i="13"/>
  <c r="O35" i="6"/>
  <c r="O37" l="1"/>
  <c r="R11" i="12"/>
  <c r="Q23"/>
  <c r="Q25" s="1"/>
  <c r="R11" i="13"/>
  <c r="Q24"/>
  <c r="Q13" i="6" s="1"/>
  <c r="Q14" s="1"/>
  <c r="P26" i="13"/>
  <c r="Q26" l="1"/>
  <c r="R24"/>
  <c r="R13" i="6" s="1"/>
  <c r="R14" s="1"/>
  <c r="S18" s="1"/>
  <c r="S11" i="13"/>
  <c r="R23" i="12"/>
  <c r="R25" s="1"/>
  <c r="S11"/>
  <c r="P37" i="6"/>
  <c r="Q37" s="1"/>
  <c r="R37" s="1"/>
  <c r="R26" i="13"/>
  <c r="S19" i="6" l="1"/>
  <c r="S20"/>
  <c r="S23"/>
  <c r="S23" i="12"/>
  <c r="S25" s="1"/>
  <c r="T11"/>
  <c r="S24" i="13"/>
  <c r="S13" i="6" s="1"/>
  <c r="S14" s="1"/>
  <c r="D22" i="15" s="1"/>
  <c r="T11" i="13"/>
  <c r="S26" l="1"/>
  <c r="U11"/>
  <c r="T24"/>
  <c r="T13" i="6" s="1"/>
  <c r="T14" s="1"/>
  <c r="U11" i="12"/>
  <c r="T23"/>
  <c r="T25" s="1"/>
  <c r="S35" i="6"/>
  <c r="T26" i="13"/>
  <c r="D23" i="15"/>
  <c r="D24"/>
  <c r="D25" s="1"/>
  <c r="E25" s="1"/>
  <c r="S37" i="6" l="1"/>
  <c r="T37" s="1"/>
  <c r="U37" s="1"/>
  <c r="V37" s="1"/>
  <c r="V11" i="12"/>
  <c r="U23"/>
  <c r="U25" s="1"/>
  <c r="V11" i="13"/>
  <c r="U24"/>
  <c r="U13" i="6" s="1"/>
  <c r="U14" s="1"/>
  <c r="U26" i="13" l="1"/>
  <c r="V26" s="1"/>
  <c r="W11"/>
  <c r="V24"/>
  <c r="V13" i="6" s="1"/>
  <c r="V14" s="1"/>
  <c r="W18" s="1"/>
  <c r="W11" i="12"/>
  <c r="V23"/>
  <c r="V25" s="1"/>
  <c r="W23" l="1"/>
  <c r="W25" s="1"/>
  <c r="X11"/>
  <c r="W24" i="13"/>
  <c r="W13" i="6" s="1"/>
  <c r="W14" s="1"/>
  <c r="X11" i="13"/>
  <c r="W26"/>
  <c r="D29" i="15"/>
  <c r="W19" i="6"/>
  <c r="AH19" s="1"/>
  <c r="W20"/>
  <c r="AH20" s="1"/>
  <c r="W23"/>
  <c r="AH18"/>
  <c r="W35" l="1"/>
  <c r="AH23"/>
  <c r="D30" i="15"/>
  <c r="D31"/>
  <c r="X24" i="13"/>
  <c r="X13" i="6" s="1"/>
  <c r="X14" s="1"/>
  <c r="Y11" i="13"/>
  <c r="Y11" i="12"/>
  <c r="X23"/>
  <c r="X25" s="1"/>
  <c r="Y24" i="13" l="1"/>
  <c r="Y13" i="6" s="1"/>
  <c r="Y14" s="1"/>
  <c r="Z11" i="13"/>
  <c r="X26"/>
  <c r="Y26" s="1"/>
  <c r="Z11" i="12"/>
  <c r="Z23" s="1"/>
  <c r="Y23"/>
  <c r="Y25" s="1"/>
  <c r="Z25" s="1"/>
  <c r="AA25" s="1"/>
  <c r="AB25" s="1"/>
  <c r="AH35" i="6"/>
  <c r="W37"/>
  <c r="X37" s="1"/>
  <c r="Y37" s="1"/>
  <c r="Z37" s="1"/>
  <c r="AA37" s="1"/>
  <c r="AB37" s="1"/>
  <c r="D32" i="15"/>
  <c r="E32" s="1"/>
  <c r="AC37" i="6" l="1"/>
  <c r="AH37"/>
  <c r="AA11" i="13"/>
  <c r="Z24"/>
  <c r="Z13" i="6" s="1"/>
  <c r="Z14" s="1"/>
  <c r="Z26" i="13" l="1"/>
  <c r="AB11"/>
  <c r="AA24"/>
  <c r="AA13" i="6" s="1"/>
  <c r="AA14" s="1"/>
  <c r="AA26" i="13" l="1"/>
  <c r="AB24"/>
  <c r="K30"/>
  <c r="AB13" i="6" l="1"/>
  <c r="AB14" s="1"/>
  <c r="AC14" s="1"/>
  <c r="AD14" s="1"/>
  <c r="AD18" s="1"/>
  <c r="AB26" i="13"/>
  <c r="AC26" s="1"/>
  <c r="AD26" s="1"/>
  <c r="D36" i="15" l="1"/>
  <c r="AD19" i="6"/>
  <c r="AD20"/>
  <c r="AD23" s="1"/>
  <c r="AD35" s="1"/>
  <c r="AD37" s="1"/>
  <c r="AE37" s="1"/>
  <c r="D37" i="15" l="1"/>
  <c r="D38"/>
  <c r="D39"/>
  <c r="E39" s="1"/>
  <c r="E43" s="1"/>
  <c r="E59" s="1"/>
</calcChain>
</file>

<file path=xl/sharedStrings.xml><?xml version="1.0" encoding="utf-8"?>
<sst xmlns="http://schemas.openxmlformats.org/spreadsheetml/2006/main" count="10497" uniqueCount="1330">
  <si>
    <t>No</t>
  </si>
  <si>
    <t>Uraian</t>
  </si>
  <si>
    <t>A</t>
  </si>
  <si>
    <t>Mandor</t>
  </si>
  <si>
    <t>Kepala Tukang</t>
  </si>
  <si>
    <t>Tukang Kayu</t>
  </si>
  <si>
    <t>Pekerja</t>
  </si>
  <si>
    <t>Kg</t>
  </si>
  <si>
    <t>B</t>
  </si>
  <si>
    <t>Alat Bantu</t>
  </si>
  <si>
    <t>Tukang Besi</t>
  </si>
  <si>
    <t>Kawat Beton</t>
  </si>
  <si>
    <t>Wire Mesh M7-150</t>
  </si>
  <si>
    <t>Wire Mesh M8-150</t>
  </si>
  <si>
    <t>Paku 5 cm - 10 cm</t>
  </si>
  <si>
    <t>Minyak Bekisting</t>
  </si>
  <si>
    <t>jam</t>
  </si>
  <si>
    <t>Pump Concrete</t>
  </si>
  <si>
    <t>Joint</t>
  </si>
  <si>
    <t>Tukang Cat</t>
  </si>
  <si>
    <t>kg</t>
  </si>
  <si>
    <t>Cat Dasar</t>
  </si>
  <si>
    <t>Paku Sekrup</t>
  </si>
  <si>
    <t>m2</t>
  </si>
  <si>
    <t>Homogeneous 30 x 30 cm</t>
  </si>
  <si>
    <t>Homogeneous 40 x 40 cm</t>
  </si>
  <si>
    <t>Homogenous 60 x 60 cm</t>
  </si>
  <si>
    <t>Homogenous 30 x 60 cm</t>
  </si>
  <si>
    <t>Seal Tape</t>
  </si>
  <si>
    <t>Handle alumunium</t>
  </si>
  <si>
    <t>m1</t>
  </si>
  <si>
    <t>Alumunium</t>
  </si>
  <si>
    <t>Polytour</t>
  </si>
  <si>
    <t>Pintu plat besi</t>
  </si>
  <si>
    <t>bh</t>
  </si>
  <si>
    <t>Kunci pintu besi</t>
  </si>
  <si>
    <t>Engsel pintu besi</t>
  </si>
  <si>
    <t>Karet</t>
  </si>
  <si>
    <t>Alumunium Grill</t>
  </si>
  <si>
    <t>ltr</t>
  </si>
  <si>
    <t>m3</t>
  </si>
  <si>
    <t>Tack Coat</t>
  </si>
  <si>
    <t>Minyak tanah</t>
  </si>
  <si>
    <t>Aspal beton (Laston)</t>
  </si>
  <si>
    <t>Sealant</t>
  </si>
  <si>
    <t>Powder Coating</t>
  </si>
  <si>
    <t>Waterproofing membrame</t>
  </si>
  <si>
    <t>Project No</t>
  </si>
  <si>
    <t>Kontraktor</t>
  </si>
  <si>
    <t>Location</t>
  </si>
  <si>
    <t xml:space="preserve">worked by </t>
  </si>
  <si>
    <t>Work</t>
  </si>
  <si>
    <t>SUMMARY PRICE</t>
  </si>
  <si>
    <t>NO</t>
  </si>
  <si>
    <t>ITEM PEKERJAAN</t>
  </si>
  <si>
    <t>TOTAL BIAYA (Rp)</t>
  </si>
  <si>
    <t>1.</t>
  </si>
  <si>
    <t>2.</t>
  </si>
  <si>
    <t>3.</t>
  </si>
  <si>
    <t>4.</t>
  </si>
  <si>
    <t>5.</t>
  </si>
  <si>
    <t>TOTAL (Rp)</t>
  </si>
  <si>
    <t>10% PPN</t>
  </si>
  <si>
    <t>: RIO PUTRA MULYADI</t>
  </si>
  <si>
    <t>: PADANG</t>
  </si>
  <si>
    <t>: PT. ADHI KARYA</t>
  </si>
  <si>
    <t>No.</t>
  </si>
  <si>
    <t>BOBOT</t>
  </si>
  <si>
    <t>BIAYA</t>
  </si>
  <si>
    <t>BULAN</t>
  </si>
  <si>
    <t>UPPER STRUCTURE WORK</t>
  </si>
  <si>
    <t>JUMLAH BOBOT</t>
  </si>
  <si>
    <t>JUMLAH BIAYA</t>
  </si>
  <si>
    <t>JUMLAH BOBOT KOMULATIF</t>
  </si>
  <si>
    <t>CASH FLOW</t>
  </si>
  <si>
    <t>Nilai Proyek</t>
  </si>
  <si>
    <t>:</t>
  </si>
  <si>
    <t>Retensi 5%</t>
  </si>
  <si>
    <t>Total</t>
  </si>
  <si>
    <t>Bulan</t>
  </si>
  <si>
    <t>Nilai Proyek Tanpa PPN</t>
  </si>
  <si>
    <t>Bobot Mingguan</t>
  </si>
  <si>
    <t>Bobot Mingguan Komulatif</t>
  </si>
  <si>
    <t>I</t>
  </si>
  <si>
    <t>Cash In</t>
  </si>
  <si>
    <t>Pembayaran Progress</t>
  </si>
  <si>
    <t>Pengembalian Uang Muka</t>
  </si>
  <si>
    <t>Retensi</t>
  </si>
  <si>
    <t>Pinjaman Kantor Pusat</t>
  </si>
  <si>
    <t>Jumlah Cash In</t>
  </si>
  <si>
    <t>II</t>
  </si>
  <si>
    <t>Cash Out</t>
  </si>
  <si>
    <t>Upper Structure Work</t>
  </si>
  <si>
    <t>Pengembalian Pinjaman</t>
  </si>
  <si>
    <t>Jumlah Cash Out</t>
  </si>
  <si>
    <t>Cash In - Cash Out</t>
  </si>
  <si>
    <t>Kas (Simpanan)</t>
  </si>
  <si>
    <t>Sisa kas minimum :</t>
  </si>
  <si>
    <t>Satuan</t>
  </si>
  <si>
    <t>Volume</t>
  </si>
  <si>
    <t>Pasir Beton / Pasang</t>
  </si>
  <si>
    <t>(M.01)</t>
  </si>
  <si>
    <t>m³</t>
  </si>
  <si>
    <t>Batu kali ( bulat utuh )</t>
  </si>
  <si>
    <t>(M.02)</t>
  </si>
  <si>
    <t>Kerikil Beton</t>
  </si>
  <si>
    <t>Kerekil Timbun/Sirtu tidak tersaring</t>
  </si>
  <si>
    <t>(M.16)</t>
  </si>
  <si>
    <t>Pasir Timbun/Urug</t>
  </si>
  <si>
    <t>(M.44)</t>
  </si>
  <si>
    <t>Tanah Timbun/Tanah Bunga/Material Tanah Timbunan</t>
  </si>
  <si>
    <t>(M.08)</t>
  </si>
  <si>
    <t>Batu Pecah 5/7</t>
  </si>
  <si>
    <t>Batu Pecah 3/4</t>
  </si>
  <si>
    <t>Batu Pecah 2/3</t>
  </si>
  <si>
    <t>Batu Pecah 1/2</t>
  </si>
  <si>
    <t>Split 0,50 - 1 Cm</t>
  </si>
  <si>
    <t>Abu Batu/Pasir Saring/Filler</t>
  </si>
  <si>
    <t>Semen Portland (50 Kg/Zak)</t>
  </si>
  <si>
    <t>(M.12)</t>
  </si>
  <si>
    <t>zak</t>
  </si>
  <si>
    <t>Semen Putih (@.40 kg/zak)</t>
  </si>
  <si>
    <t>Semen merah</t>
  </si>
  <si>
    <t>Kayu Banio ( Papan ) Klas I</t>
  </si>
  <si>
    <t>Kayu Banio ( Balok) Klas I</t>
  </si>
  <si>
    <t>Kayu Marsawa ( Papan ) Klas II</t>
  </si>
  <si>
    <t>Kayu Marsawa ( Balok ) Klas II</t>
  </si>
  <si>
    <t>Kayu Meranti ( Papan ) Klas III</t>
  </si>
  <si>
    <t>Kayu Meranti ( Balok ) Klas III</t>
  </si>
  <si>
    <t>Kayu untuk perancah kayu kelas III</t>
  </si>
  <si>
    <t>Kayu Bekisting ( Papan ) Klas IV</t>
  </si>
  <si>
    <t>Kayu Bekisting ( Balok ) Klas IV</t>
  </si>
  <si>
    <t>Dolken Ø-8 cm</t>
  </si>
  <si>
    <t>btg</t>
  </si>
  <si>
    <t>Bambu Ø-6/8-600 m</t>
  </si>
  <si>
    <t>Batu Bata ( 5 x 11 x 22 ) / SII</t>
  </si>
  <si>
    <t>buah</t>
  </si>
  <si>
    <t>Hollow Brick (H.16)</t>
  </si>
  <si>
    <t>Batu Krawang (25x25)</t>
  </si>
  <si>
    <t>P a k u</t>
  </si>
  <si>
    <t>(M.18)</t>
  </si>
  <si>
    <t>Paku Seng</t>
  </si>
  <si>
    <t>Besi Siku L.50.50.5</t>
  </si>
  <si>
    <t>Besi Profil IWF</t>
  </si>
  <si>
    <t>Besi Ulir dia.13 mm (KS)/D.32</t>
  </si>
  <si>
    <t>(M.39)b</t>
  </si>
  <si>
    <t>Besi Beton / KS</t>
  </si>
  <si>
    <t>(M.13)</t>
  </si>
  <si>
    <t>Kawat Bindrad/Kawat Beton</t>
  </si>
  <si>
    <t>(M.14)</t>
  </si>
  <si>
    <t>Besi Strip (Plat gepeng) uk. 3/16 x 3/4" x 4</t>
  </si>
  <si>
    <t>m</t>
  </si>
  <si>
    <t>Meni Kayu/Besi</t>
  </si>
  <si>
    <t>Plammer Kayu</t>
  </si>
  <si>
    <t>Plammer Tembok</t>
  </si>
  <si>
    <t>Cat Air/Cat Tembok ( Setara Matex )</t>
  </si>
  <si>
    <t>Cat Air/Cat Tembok ( Setara Catylac )</t>
  </si>
  <si>
    <t>Cat Air/Cat Tembok ( Setara Dulux weathershield )</t>
  </si>
  <si>
    <t>Cat Minyak/Cat Warna ( Setara Platon )</t>
  </si>
  <si>
    <t>(M.42)</t>
  </si>
  <si>
    <t>Cat Impra Struktur</t>
  </si>
  <si>
    <t>Minyak Cat / terpentin</t>
  </si>
  <si>
    <t>Residu</t>
  </si>
  <si>
    <t>Dompol</t>
  </si>
  <si>
    <t>Kapur Sirih</t>
  </si>
  <si>
    <t>Kapur Padam</t>
  </si>
  <si>
    <t>Ampelas</t>
  </si>
  <si>
    <t>lbr</t>
  </si>
  <si>
    <t>Kuas</t>
  </si>
  <si>
    <t>Lem Fox</t>
  </si>
  <si>
    <t>Tepung Sengkuit</t>
  </si>
  <si>
    <t>Kawat Duri</t>
  </si>
  <si>
    <t>Alang-Alang</t>
  </si>
  <si>
    <t>ikat</t>
  </si>
  <si>
    <t>Sabun</t>
  </si>
  <si>
    <t>Soda Api</t>
  </si>
  <si>
    <t>Waterproofing coating</t>
  </si>
  <si>
    <t>m²</t>
  </si>
  <si>
    <t>Triplek tebal 6 mm, uk. 1,20 x 2,40</t>
  </si>
  <si>
    <t>Triplek tebal 4 mm, uk. 1,20 x 2,40</t>
  </si>
  <si>
    <t>Triplek tebal 3 mm, uk. 1,20 x 2,40</t>
  </si>
  <si>
    <t>Eternit Asbes 4 mm, uk. 1,00 x 1,00</t>
  </si>
  <si>
    <t>Triplek Jati sungkai uk. 1.20 x 2,40 ( tebal 3 mm )</t>
  </si>
  <si>
    <t>Triplek Jati                uk. 1.20 x 2,40 ( tebal 4 mm )</t>
  </si>
  <si>
    <t>Triplek Jati                uk. 1.20 x 2,40 ( tebal 6 mm )</t>
  </si>
  <si>
    <t>Multiplek 9 mm, 1,20 x 2,40</t>
  </si>
  <si>
    <t>Multiplek 12 mm, 1,20 x 2,40</t>
  </si>
  <si>
    <t>Plywood 4 mm, 1,20 x 2,40</t>
  </si>
  <si>
    <t>Plywood 6 mm, 1,20 x 2,40</t>
  </si>
  <si>
    <t>Plywood 9 mm, 1,20 x 2,40</t>
  </si>
  <si>
    <t>Teakwood tebal 4 mm, 1.20 x 2.40</t>
  </si>
  <si>
    <t>Lambriseering</t>
  </si>
  <si>
    <t>Gypsum Board 9mm</t>
  </si>
  <si>
    <t>Gypsum Board 12mm</t>
  </si>
  <si>
    <t>Gypsum Board waterproof 12mm</t>
  </si>
  <si>
    <t>Pintu panel oven</t>
  </si>
  <si>
    <t>List Profil (3x3.5x400)</t>
  </si>
  <si>
    <t>m'</t>
  </si>
  <si>
    <t>Wallpaper</t>
  </si>
  <si>
    <t>Granit 60 x 60 ( Setara Sandimas ) W.610</t>
  </si>
  <si>
    <t>Jubin Keramik 60 x 60 ( Setara Roman )</t>
  </si>
  <si>
    <t>Jubin Keramik 40 x 40 ( Setara Roman )</t>
  </si>
  <si>
    <t>Jubin Keramik 30 x 30 ( Setara Roman )</t>
  </si>
  <si>
    <t>Jubin Keramik 20 x 20 ( Setara Roman )</t>
  </si>
  <si>
    <t>Jubin Keramik dinding 20 x 20 ( Setara Roman )</t>
  </si>
  <si>
    <t>Jubin Keramik dinding 20 x 40 ( Setara Roman )</t>
  </si>
  <si>
    <t>Jubin Granit 30 x 30 ( Setara Granito )</t>
  </si>
  <si>
    <t>Jubin Granit 40 x 40 ( Setara Granito )</t>
  </si>
  <si>
    <t>Tepung Apha AA (Semen Warna)</t>
  </si>
  <si>
    <t>Stop Norsing Keramik (uk.pjg.10 cm)</t>
  </si>
  <si>
    <t>Genteng Beton</t>
  </si>
  <si>
    <t>Genteng Metal, uk. 1,20 x 0,40 x 0,30</t>
  </si>
  <si>
    <t>Seng warna ( bandar 11 )</t>
  </si>
  <si>
    <t>Seng (BJLS 20) uk.1,83 x 0,80</t>
  </si>
  <si>
    <t>Seng Plat (BJLS 20)</t>
  </si>
  <si>
    <t>Seng Plat 3' X 6' (BJLS 30)</t>
  </si>
  <si>
    <t>Seng Gelombang 3'-5'</t>
  </si>
  <si>
    <t>Atap Spandek</t>
  </si>
  <si>
    <t>Atap Asbes Gelombang</t>
  </si>
  <si>
    <t>Perabung Asbes</t>
  </si>
  <si>
    <t>Kaca Polos tebal 6 mm</t>
  </si>
  <si>
    <t>Kaca Polos tebal 3 mm</t>
  </si>
  <si>
    <t>Kaca Polos tebal 5 mm</t>
  </si>
  <si>
    <t>Kaca Polos tebal 8 mm</t>
  </si>
  <si>
    <t>Kaca Raiben tebal 3 mm</t>
  </si>
  <si>
    <t>Kaca Raiben tebal 5 mm</t>
  </si>
  <si>
    <t>Kaca Tempered tebal tebal 8 mm</t>
  </si>
  <si>
    <t>Kaca Tempered tebal tebal 12 mm</t>
  </si>
  <si>
    <t>Naco Polos (tambah rangka) Uk. 15 x 90 Cm</t>
  </si>
  <si>
    <t>Les Kaca ( 1 x 3 x 400 )</t>
  </si>
  <si>
    <t>Buis Beton dm. 100</t>
  </si>
  <si>
    <t>m'/buah</t>
  </si>
  <si>
    <t>Buis Beton dm.  80</t>
  </si>
  <si>
    <t>Buis Beton dm.  60</t>
  </si>
  <si>
    <t>Buis Beton dm.  40</t>
  </si>
  <si>
    <t>Buis Beton dm.  30</t>
  </si>
  <si>
    <t>Buis Beton dm.  20</t>
  </si>
  <si>
    <t>Buis Beton dm.  15</t>
  </si>
  <si>
    <t>Buis Beton dm. 100 (tulangan)</t>
  </si>
  <si>
    <t>Buis Beton dm.  80 (tulangan)</t>
  </si>
  <si>
    <t>Buis Beton dm.  60 (tulangan)</t>
  </si>
  <si>
    <t>Buis Beton dm.  40 (tulangan)</t>
  </si>
  <si>
    <t>Buis Beton dm.  30 (tulangan)</t>
  </si>
  <si>
    <t>Buis Beton dm.  20 (tulangan)</t>
  </si>
  <si>
    <t>Baja bulat SCH-40 dia.2"   T = 3,90 mm</t>
  </si>
  <si>
    <t>kg/m'</t>
  </si>
  <si>
    <t>Pipa Galvanis dm. 4 "</t>
  </si>
  <si>
    <t>Pipa Galvanis dm. 3 "</t>
  </si>
  <si>
    <t>Pipa Galvanis dm. 1 1/2"</t>
  </si>
  <si>
    <t>Pipa Galvanis dm. 1 "</t>
  </si>
  <si>
    <t>Pipa Galvanis dm. 3/4"</t>
  </si>
  <si>
    <t>Pipa Galvanis dm. 1/2"</t>
  </si>
  <si>
    <t>Pipa PVC dm. 4 " AW</t>
  </si>
  <si>
    <t>Pipa PVC dm. 3 " AW</t>
  </si>
  <si>
    <t>Pipa PVC dm. 2 " AW</t>
  </si>
  <si>
    <t>Pipa PVC dm. 1 1/2" Aw</t>
  </si>
  <si>
    <t>Pipa PVC dm. 1 " Aw</t>
  </si>
  <si>
    <t>Pipa PVC dm. 3/4 " AW</t>
  </si>
  <si>
    <t>Pipa PVC dm. 1/2 " Aw</t>
  </si>
  <si>
    <t>Closet Duduk Setara TOTO</t>
  </si>
  <si>
    <t>Closet Jongkok Porselen Setara TOTO</t>
  </si>
  <si>
    <t>Closet Jongkok Teraso Setara Total/Vetro</t>
  </si>
  <si>
    <t>Urinoir Lengkap Setara TOTO</t>
  </si>
  <si>
    <t>Wastafel Lengkap Setara KIA type SUSAN (1263.F.110)</t>
  </si>
  <si>
    <t>Bak Fiberglass Uk 65 x 65</t>
  </si>
  <si>
    <t>Bak Fiberglass 1 m3</t>
  </si>
  <si>
    <t>Kunci SES 208</t>
  </si>
  <si>
    <t>Kunci Meja</t>
  </si>
  <si>
    <t>Kunci tanam</t>
  </si>
  <si>
    <t>Engsel 4" ( Kuningan ) / Nilon - SES</t>
  </si>
  <si>
    <t>Engsel 3" ( Kuningan ) / Nilon - SES</t>
  </si>
  <si>
    <t>Engsel Meja</t>
  </si>
  <si>
    <t>Engsel alumunium</t>
  </si>
  <si>
    <t>Handle pintu besi</t>
  </si>
  <si>
    <t>Gerendel 3" ( Kuningan ) /Antik 2 Type 204</t>
  </si>
  <si>
    <t>Hak angin kuningan ( Antik ) 6"</t>
  </si>
  <si>
    <t>Kawat Besi Beugel ( dia. 6 mm )</t>
  </si>
  <si>
    <t>Kawat Besi Got ( dia. 8 mm )</t>
  </si>
  <si>
    <t>Kawat Galvanis dia. 4 mm</t>
  </si>
  <si>
    <t>(M.15)</t>
  </si>
  <si>
    <t>Kran Air dia. 1/2" Merk San Ei</t>
  </si>
  <si>
    <t>Kran Air dia. 3/4" Merk Stainless</t>
  </si>
  <si>
    <t>Floor Drain lokal</t>
  </si>
  <si>
    <t>A s p a l ( Drum )</t>
  </si>
  <si>
    <t>(M.10.a)</t>
  </si>
  <si>
    <t>(M.10)</t>
  </si>
  <si>
    <t>Prim coat</t>
  </si>
  <si>
    <t>AC-BC</t>
  </si>
  <si>
    <t>Solar (umum)</t>
  </si>
  <si>
    <t>(M.21)a</t>
  </si>
  <si>
    <t>liter</t>
  </si>
  <si>
    <t>Solar (industri)</t>
  </si>
  <si>
    <t>(M.21)b</t>
  </si>
  <si>
    <t>Bensin / Premium</t>
  </si>
  <si>
    <t>( M.20 )</t>
  </si>
  <si>
    <t>Minyak Pelumas</t>
  </si>
  <si>
    <t>(M.22)</t>
  </si>
  <si>
    <t>Kayu Bakar</t>
  </si>
  <si>
    <t>pikul</t>
  </si>
  <si>
    <t>Kayu perancah</t>
  </si>
  <si>
    <t>(M.19)</t>
  </si>
  <si>
    <t>Paving block tebal  6 Cm Type I K.225/35</t>
  </si>
  <si>
    <t>Paving block tebal  8 Cm Type I K.225/35</t>
  </si>
  <si>
    <t>Paving block tebal  6 Cm K.225 type balok</t>
  </si>
  <si>
    <t>Paving block tebal  8 Cm K.225 type balok</t>
  </si>
  <si>
    <t>Paving block tebal  8 Cm K.350 type Balok</t>
  </si>
  <si>
    <t>Paving block tebal 10 Cm K.350 type Balok</t>
  </si>
  <si>
    <t>Paving block tebal 8 Cm K.450 type Balok</t>
  </si>
  <si>
    <t>Pav.block tebal 6 Cm K.225/36-Hexagon, warna(Segi Enam)</t>
  </si>
  <si>
    <t>Pav.block tebal 8 Cm K.350/36-Hexagon, warna(Segi Enam)</t>
  </si>
  <si>
    <t>Kanstin 1m</t>
  </si>
  <si>
    <t>Pipa Aluminium jenis Cykhalum f Persegi 4 = 2 x 2 cm</t>
  </si>
  <si>
    <t>Pipa Aluminium jenis Cykhalum f Persegi 4 = 3 x 3 cm</t>
  </si>
  <si>
    <t>Pipa Aluminium jenis Cykhalum f Persegi 4 = 4 x 4 cm</t>
  </si>
  <si>
    <t>Elektroda / Kawat las RB 2,6 mm</t>
  </si>
  <si>
    <t>(M.51)</t>
  </si>
  <si>
    <t>Vertical Blind</t>
  </si>
  <si>
    <t>Plastik Hitam</t>
  </si>
  <si>
    <t>Air</t>
  </si>
  <si>
    <t>Ijuk Saringan</t>
  </si>
  <si>
    <t>Batako</t>
  </si>
  <si>
    <t>Spun Pile Ø 600</t>
  </si>
  <si>
    <t>Titik</t>
  </si>
  <si>
    <t>Redy mix K - 100</t>
  </si>
  <si>
    <t>Redy mix K - 125</t>
  </si>
  <si>
    <t>Redy mix K - 175</t>
  </si>
  <si>
    <t>Redy mix K - 250</t>
  </si>
  <si>
    <t>Redy mix K - 300</t>
  </si>
  <si>
    <t>Redy mix K - 350</t>
  </si>
  <si>
    <t>Redy mix K - 400</t>
  </si>
  <si>
    <t>Redy mix K - 500</t>
  </si>
  <si>
    <t>DAFTAR HARGA SATUAN UPAH, MATERIAL &amp; PERALATAN</t>
  </si>
  <si>
    <t>TAHUN ANGGARAN 2015</t>
  </si>
  <si>
    <t>U R A I A N</t>
  </si>
  <si>
    <t>SATUAN</t>
  </si>
  <si>
    <t>HARGA SATUAN</t>
  </si>
  <si>
    <t>( Rp. )</t>
  </si>
  <si>
    <t>Harga Baru</t>
  </si>
  <si>
    <t>hari</t>
  </si>
  <si>
    <t>Tukang Batu/Tukang Menggergaji</t>
  </si>
  <si>
    <t>Tukang Anyam / Tukang masak Aspal / Tkg.lebur Aspal</t>
  </si>
  <si>
    <t>Tukang Listrik</t>
  </si>
  <si>
    <t>Sopir</t>
  </si>
  <si>
    <t>Operator/Mekanik</t>
  </si>
  <si>
    <t>Pembantu Operator</t>
  </si>
  <si>
    <t>Penjaga Malam</t>
  </si>
  <si>
    <t>III</t>
  </si>
  <si>
    <t>Mesin Las</t>
  </si>
  <si>
    <t>Tamper Vibrator Plate 4HP</t>
  </si>
  <si>
    <t>(E.25)a</t>
  </si>
  <si>
    <t>P. Tyre Roller 8-10 Ton,10 Ton</t>
  </si>
  <si>
    <t>(E.18)</t>
  </si>
  <si>
    <t>Concrete Vibrator</t>
  </si>
  <si>
    <t>(E.20)</t>
  </si>
  <si>
    <t>Concrete Mixer 0.3-0.6 M3, 500 Lt</t>
  </si>
  <si>
    <t>(E.06)</t>
  </si>
  <si>
    <t>Water Pump 70-100mm</t>
  </si>
  <si>
    <t>(E.22)</t>
  </si>
  <si>
    <t>Pile Hammer K25 5,2 Ton + Pile Driver</t>
  </si>
  <si>
    <t>(E.30)</t>
  </si>
  <si>
    <t>Wheel Crane 10 - 15 Ton</t>
  </si>
  <si>
    <t>(E.07)</t>
  </si>
  <si>
    <t>Welding Machinee 400 Amp.</t>
  </si>
  <si>
    <t>(E.32)a</t>
  </si>
  <si>
    <t>Dump Truck 8 ton</t>
  </si>
  <si>
    <t>(E.09)</t>
  </si>
  <si>
    <t>Sewa mesin Spare Part (dari E.16=divisi=5alat)</t>
  </si>
  <si>
    <t>Alat - Alat Bantu (set @ 3 alat)</t>
  </si>
  <si>
    <t>set</t>
  </si>
  <si>
    <t>REKAPITULASI VOLUME</t>
  </si>
  <si>
    <t xml:space="preserve"> Item Pekerjaan</t>
  </si>
  <si>
    <t>Pekerjaan Struktur Atas</t>
  </si>
  <si>
    <t>Kolom</t>
  </si>
  <si>
    <t>Lantai 1</t>
  </si>
  <si>
    <t>a.</t>
  </si>
  <si>
    <t>M³</t>
  </si>
  <si>
    <t>b.</t>
  </si>
  <si>
    <t>Bekisting</t>
  </si>
  <si>
    <t>M²</t>
  </si>
  <si>
    <t>c.</t>
  </si>
  <si>
    <t>Pembesian</t>
  </si>
  <si>
    <t>D10</t>
  </si>
  <si>
    <t>D13</t>
  </si>
  <si>
    <t>D16</t>
  </si>
  <si>
    <t>D19</t>
  </si>
  <si>
    <t>D25</t>
  </si>
  <si>
    <t>Lantai 2</t>
  </si>
  <si>
    <t>Lantai 3</t>
  </si>
  <si>
    <t>Lantai 4</t>
  </si>
  <si>
    <t>Lantai 5</t>
  </si>
  <si>
    <t>Lantai Atap</t>
  </si>
  <si>
    <t>Balok</t>
  </si>
  <si>
    <t>Beton</t>
  </si>
  <si>
    <t>Lantai 3-4</t>
  </si>
  <si>
    <t>A.Tangga 1</t>
  </si>
  <si>
    <t>D8</t>
  </si>
  <si>
    <t>PADANG - SUMATERA BARAT</t>
  </si>
  <si>
    <t>Indeks</t>
  </si>
  <si>
    <t>Sat</t>
  </si>
  <si>
    <t>Harga Satuan</t>
  </si>
  <si>
    <t>Jumlah Upah</t>
  </si>
  <si>
    <t>Jumlah Bahan</t>
  </si>
  <si>
    <t>Jumlah Upah &amp; Bahan</t>
  </si>
  <si>
    <t>Analisa Biaya Konstruksi Pekerjaan Persiapan</t>
  </si>
  <si>
    <t>Pengukuran dan Pemasangan Bouwplank / M1</t>
  </si>
  <si>
    <t>Jumlah Tenaga Kerja</t>
  </si>
  <si>
    <t>M3</t>
  </si>
  <si>
    <t>Kayu 5/7 (Kayu Klas. III</t>
  </si>
  <si>
    <t>Paku Biasa 2"-5"</t>
  </si>
  <si>
    <t>Kayu Papan 3/20 (Klas III</t>
  </si>
  <si>
    <t>Jumlah Harga Bahan</t>
  </si>
  <si>
    <t>Jumlah Alat Bantu</t>
  </si>
  <si>
    <t>Jumlah ( A+B+C )</t>
  </si>
  <si>
    <t>Overhead &amp; Profit  ( 10% )</t>
  </si>
  <si>
    <t>Harga Satuan Pekerjaan ( D + E )</t>
  </si>
  <si>
    <t>Membersihkan Lapangan dan Peralatan / M2</t>
  </si>
  <si>
    <t>Pagar sementara dari seng gelombang (Tinggi 2m)/M</t>
  </si>
  <si>
    <t>Btg</t>
  </si>
  <si>
    <t>Dolken kayu galam Ø (8-10) cm, P = 4 m</t>
  </si>
  <si>
    <t>Semen porland</t>
  </si>
  <si>
    <t>Lb</t>
  </si>
  <si>
    <t>Seng gelombang 3'-5'</t>
  </si>
  <si>
    <t>Pasir pasang</t>
  </si>
  <si>
    <t>Kerikil beton</t>
  </si>
  <si>
    <t>Kayu 5/7 (Kayu klas III</t>
  </si>
  <si>
    <t>Paku Biasa</t>
  </si>
  <si>
    <t>Meni besi</t>
  </si>
  <si>
    <t>Pembuatan Kantor Sementara dengan Lantai Plesteran/M2</t>
  </si>
  <si>
    <t>Tukang Batu</t>
  </si>
  <si>
    <t>Dolken kayu galam Ø (8-10) cm P=4m</t>
  </si>
  <si>
    <t>Papan 3/20 (Klas III)</t>
  </si>
  <si>
    <t>Besi Strip</t>
  </si>
  <si>
    <t>Pasir Pasang</t>
  </si>
  <si>
    <t>Bh</t>
  </si>
  <si>
    <t>Batu Bata</t>
  </si>
  <si>
    <t>Jendela Nako Uk. 15 cm x 90 cm</t>
  </si>
  <si>
    <t>Kunci Tanam</t>
  </si>
  <si>
    <t>Lbr</t>
  </si>
  <si>
    <t>Plywood tebal 6 mm</t>
  </si>
  <si>
    <t>Analisa Biaya Konstruksi Pekerjaan Tanah</t>
  </si>
  <si>
    <t>Galian Tanah Biasa Sedalam 1 Meter / M3</t>
  </si>
  <si>
    <t>Urugan Kembali / M3</t>
  </si>
  <si>
    <t>Urugan Pasir / M3</t>
  </si>
  <si>
    <t>Pasir Urug</t>
  </si>
  <si>
    <t>Pasang Lantai Kerja  Beton Mutu K 100  / M2</t>
  </si>
  <si>
    <t>Ready Mix K 100</t>
  </si>
  <si>
    <t>ls</t>
  </si>
  <si>
    <t>1 M2</t>
  </si>
  <si>
    <t>Analisa Biaya Konstruksi Pekerjaan Pondasi</t>
  </si>
  <si>
    <t>BESI</t>
  </si>
  <si>
    <t>Pembesian 10 Kg dengan Besi Polos atau Besi Ulir</t>
  </si>
  <si>
    <t>Besi Beton (Polos/ulir)</t>
  </si>
  <si>
    <t>Per/1 kg</t>
  </si>
  <si>
    <t>M2</t>
  </si>
  <si>
    <t>Kayu kelas III</t>
  </si>
  <si>
    <t>Ltr</t>
  </si>
  <si>
    <t>Pemasangan Bekisting 1 M2</t>
  </si>
  <si>
    <t>Memasang 1 M2 Bekisting Untuk Kolom</t>
  </si>
  <si>
    <t>Balok Kayu Klas III</t>
  </si>
  <si>
    <t>Plywood tebal 9 mm</t>
  </si>
  <si>
    <t>Memasang 1 M2 Bekisting Untuk Balok</t>
  </si>
  <si>
    <t>Membuat 1 M3 Beton Mutu K 350  ( fc=26,4 Mpa) Slump (12 + 2 ) cm w/c = 0.52</t>
  </si>
  <si>
    <t>Tukang</t>
  </si>
  <si>
    <t>Ready Mix K 350</t>
  </si>
  <si>
    <t>Vibrator</t>
  </si>
  <si>
    <t>Pasangan Batu Kali</t>
  </si>
  <si>
    <t>Batu Kali</t>
  </si>
  <si>
    <t>Semen Portland</t>
  </si>
  <si>
    <t>TOTAL</t>
  </si>
  <si>
    <t xml:space="preserve"> m1</t>
  </si>
  <si>
    <t>Spun pile Ø 600</t>
  </si>
  <si>
    <t>Penutup Atap</t>
  </si>
  <si>
    <t>Spandek</t>
  </si>
  <si>
    <t>Pasangan   Bata, 1 Pc : 3 Pp / M2</t>
  </si>
  <si>
    <t>Batu bata</t>
  </si>
  <si>
    <t>Pasangan  Bata, 1 Pc : 4 Pp / M2</t>
  </si>
  <si>
    <t>Plesteran 1 Pc : 3 Pp, Tebal 15 mm / M2</t>
  </si>
  <si>
    <t>Plesteran 1 Pc : 4 Pp, Tebal 15 mm / M2</t>
  </si>
  <si>
    <t>Pengecatan Tembok Baru (1 Lapis Plamir,1 Cat Dasar,2 Cat Penutup)/M2 Dalam</t>
  </si>
  <si>
    <t>Plamir (Dompol tembok)</t>
  </si>
  <si>
    <t>Cat Penutup 2 kali (Setara )</t>
  </si>
  <si>
    <t>Pengecatan Tembok Baru (1 Lapis Plamir,1 Cat Dasar,2 Cat Penutup)/M2 Luar (Watershield)</t>
  </si>
  <si>
    <t>Plafond Gypsum Board Ukuran (120 X 240), Tebal 9 mm / M2 (waterproof)</t>
  </si>
  <si>
    <t>Gypsum board tebal 9 mm waterproof</t>
  </si>
  <si>
    <t>Hollow 40 x 40</t>
  </si>
  <si>
    <t>Plafond Gypsum Board Ukuran (120 X 240), Tebal 9 mm / M2</t>
  </si>
  <si>
    <t>Gypsum Board (120 x 240 x 12) mm</t>
  </si>
  <si>
    <t>Pasang Lantai Homogeneous 30 x 30 cm / M2</t>
  </si>
  <si>
    <t>Semen Warna</t>
  </si>
  <si>
    <t>Pasang Lantai Homogeneous 40 x 40 cm / M2</t>
  </si>
  <si>
    <t>Pasang Lantai Homogeneous 60 x 60 cm / M2</t>
  </si>
  <si>
    <t>Pasang Lantai Homogeneous 30 x 60 cm / M2</t>
  </si>
  <si>
    <t>Pasang Granite / M2</t>
  </si>
  <si>
    <t>Granite</t>
  </si>
  <si>
    <t>H</t>
  </si>
  <si>
    <t>Analisa Biaya Konstruksi Pekerjaan Sanitasi</t>
  </si>
  <si>
    <t>Memasang 1 Bh Kloset Duduk Setara TOTO</t>
  </si>
  <si>
    <t>Kloset Duduk Porselen</t>
  </si>
  <si>
    <t>Perlengkapan</t>
  </si>
  <si>
    <t>Memasang 1 Bh Kloset Jongkok Setara TOTO</t>
  </si>
  <si>
    <t>Kloset Jongkok Setara KIA</t>
  </si>
  <si>
    <t>Memasang 1 Bh Urinoir Setara TOTO</t>
  </si>
  <si>
    <t>Urinoir lengkap</t>
  </si>
  <si>
    <t>Memasang 1 Bh Wastafel</t>
  </si>
  <si>
    <t>Wastafel</t>
  </si>
  <si>
    <t>Semen Abu-abu</t>
  </si>
  <si>
    <t>Memasang 1 Bh Kran Diameter 1/2" FS-San Ei</t>
  </si>
  <si>
    <t>Kran Air 1/2" FS</t>
  </si>
  <si>
    <t>Memasang 1 Bh Floor Drain</t>
  </si>
  <si>
    <t>Floor Drain</t>
  </si>
  <si>
    <t>Membuat dan memasang  pintu  kaca tempered / BH (Type P1)</t>
  </si>
  <si>
    <t>OH</t>
  </si>
  <si>
    <t>Kaca tempered tebal 12 mm</t>
  </si>
  <si>
    <t>Kunci</t>
  </si>
  <si>
    <t>Engsel tanam</t>
  </si>
  <si>
    <t>Membuat,memasang  kusen dan daun pintu panel  / BH ( Type P2 )</t>
  </si>
  <si>
    <t>Pintu panel</t>
  </si>
  <si>
    <t>Engsel</t>
  </si>
  <si>
    <t>Paku 1 cm - 2.5 cm</t>
  </si>
  <si>
    <t>Lem</t>
  </si>
  <si>
    <t>Membuat,memasang  kusen dan daun pintu panel  / BH ( Type P3 )</t>
  </si>
  <si>
    <t>Membuat dan memasang  pintu  kaca tempered / BH (Type P4)</t>
  </si>
  <si>
    <t>Membuat,memasang  kusen dan daun pintu panel  / BH ( Type P5 )</t>
  </si>
  <si>
    <t>Kaca bening tebal 8 mm</t>
  </si>
  <si>
    <t>Membuat,memasang  kusen dan daun pintu panel  / BH ( Type P6 )</t>
  </si>
  <si>
    <t>Membuat,memasang  kusen dan daun pintu panel  / BH ( Type P7 )</t>
  </si>
  <si>
    <t>Membuat,memasang  kusen dan daun pintu besi   / BH ( Type P8 )</t>
  </si>
  <si>
    <t>Besi siku 50.50.5</t>
  </si>
  <si>
    <t>Hendle pintu besi</t>
  </si>
  <si>
    <t>Cat minyak</t>
  </si>
  <si>
    <t>Membuat,memasang  kusen dan daun pintu besi   / BH ( Type P9 )</t>
  </si>
  <si>
    <t>Membuat,memasang  kusen dan daun jendela  / BH ( Type J1 )</t>
  </si>
  <si>
    <t>Grendel</t>
  </si>
  <si>
    <t>Sealand</t>
  </si>
  <si>
    <t>Alat bantu</t>
  </si>
  <si>
    <t>Membuat,memasang  kusen dan daun jendela  / BH ( Type J1A )</t>
  </si>
  <si>
    <t>Membuat,memasang  kusen dan daun jendela  / BH ( Type J1A' )</t>
  </si>
  <si>
    <t>Membuat.memasang  kusen dan daun jendela  / BH ( Type J2 )</t>
  </si>
  <si>
    <t>Membuat,memasang  kusen dan daun jendela  / BH ( Type J3 )</t>
  </si>
  <si>
    <t>Membuat,memasang  kusen dan daun jendela  / BH ( Type J1B )</t>
  </si>
  <si>
    <t>Membuat,memasang  kusen dan daun jendela  / BH ( Type J2B )</t>
  </si>
  <si>
    <t>Membuat,memasang  Grill alumunium  / BH ( Type GR1 )</t>
  </si>
  <si>
    <t>Membuat,memasang  Grill alumunium  / BH ( Type GR2 )</t>
  </si>
  <si>
    <t>Membuat,memasang  Grill alumunium  / BH ( Type GR3 )</t>
  </si>
  <si>
    <t>Membuat,memasang  Grill alumunium  / BH ( Type GR4 )</t>
  </si>
  <si>
    <t>Membuat,memasang  Grill alumunium  / BH ( Type GR5 )</t>
  </si>
  <si>
    <t>Membuat,memasang  Grill alumunium  / BH ( Type GR6 )</t>
  </si>
  <si>
    <t>Waterproofing Coating</t>
  </si>
  <si>
    <t>Waterproofing</t>
  </si>
  <si>
    <t>Paving blok</t>
  </si>
  <si>
    <t>Paving Blok Tebal 10 cm</t>
  </si>
  <si>
    <t>Agregat kelas B CBR 30 % tebal 250 mm</t>
  </si>
  <si>
    <t>Pasir urug</t>
  </si>
  <si>
    <t>Kerikil</t>
  </si>
  <si>
    <t>ton</t>
  </si>
  <si>
    <t>Prime Coat</t>
  </si>
  <si>
    <t>Agregat kelas A CBR 80 % tebal 150 mm</t>
  </si>
  <si>
    <t>Batu pecah 3 - 4 cm</t>
  </si>
  <si>
    <t>Batu pecah 2 - 3 cm</t>
  </si>
  <si>
    <t>Batu pecah mesin 0,5 - 1 cm</t>
  </si>
  <si>
    <t>Batu pecah mesin 1 - 2 cm</t>
  </si>
  <si>
    <t>AC Base tebal 60 mm</t>
  </si>
  <si>
    <t>Aspal curah</t>
  </si>
  <si>
    <t>AC - BC</t>
  </si>
  <si>
    <t>Aspal</t>
  </si>
  <si>
    <t>Membuat dan memasang Dinding partisi  / UNIT Type P1</t>
  </si>
  <si>
    <t>M1</t>
  </si>
  <si>
    <t>Gypsump</t>
  </si>
  <si>
    <t>BH</t>
  </si>
  <si>
    <t>Membuat dan memasang Dinding partisi  / UNIT Type P2</t>
  </si>
  <si>
    <t>Membuat dan memasang Dinding partisi  / UNIT Type P3</t>
  </si>
  <si>
    <t>Membuat dan memasang Dinding partisi  / UNIT Type P4</t>
  </si>
  <si>
    <t>Membuat dan memasang Dinding partisi  / UNIT Type P5</t>
  </si>
  <si>
    <t>Membuat dan memasang Dinding partisi  / UNIT Type P6</t>
  </si>
  <si>
    <t>Membuat dan memasang Dinding partisi  / UNIT Type P7</t>
  </si>
  <si>
    <t>Membuat dan memasang Dinding partisi  / UNIT Type P8</t>
  </si>
  <si>
    <t>Membuat dan memasang Dinding partisi  / UNIT Type P9</t>
  </si>
  <si>
    <t>Membuat dan memasang Dinding partisi  / UNIT Type P10</t>
  </si>
  <si>
    <t>Membuat dan memasang Dinding partisi  / UNIT Type P11</t>
  </si>
  <si>
    <t>Membuat dan memasang Dinding partisi  / UNIT Type P12</t>
  </si>
  <si>
    <t>Pasang Kanstin / M</t>
  </si>
  <si>
    <t>Kanstin 1 m</t>
  </si>
  <si>
    <t>Analisa Harga Satuan</t>
  </si>
  <si>
    <t>Total Harga</t>
  </si>
  <si>
    <t>Beton k 350</t>
  </si>
  <si>
    <t>Memasang 1 M2 Bekisting Untuk Dinding/Shearwall</t>
  </si>
  <si>
    <t>Memasang 1 M2 Bekisting Untuk Plat Lantai</t>
  </si>
  <si>
    <t>Memasang 1 M2 Bekisting Untuk Tangga</t>
  </si>
  <si>
    <t xml:space="preserve">Total Harga Peritem Pekerjaan  </t>
  </si>
  <si>
    <t>TOTAL HARGA</t>
  </si>
  <si>
    <t>Pekerjaan Kolom</t>
  </si>
  <si>
    <t>Pekerjaan Balok</t>
  </si>
  <si>
    <t>Pekerjaan Plat Lantai</t>
  </si>
  <si>
    <t>Pekerjaan Tangga</t>
  </si>
  <si>
    <t>Uang Muka 10 %</t>
  </si>
  <si>
    <t>Uang Muka 10%</t>
  </si>
  <si>
    <t xml:space="preserve">PEKERJAAN STRUKTUR ATAS </t>
  </si>
  <si>
    <t>: MAPOLDA SUMATRA BARAT</t>
  </si>
  <si>
    <t>DURASI (Minggu)</t>
  </si>
  <si>
    <t>KETERANGAN</t>
  </si>
  <si>
    <t>UPPER STRUKTUR</t>
  </si>
  <si>
    <t>PEKERJAAN KOLOM          (1st-roof top floor)</t>
  </si>
  <si>
    <t>PEKERJAAN BALOK                       (1st-roof top floor)</t>
  </si>
  <si>
    <t>PEKERJAAN PLAT LANTAI          (1st-roof top floor)</t>
  </si>
  <si>
    <t>PEKERJAAN TANGGA           (1st-roof top floor)</t>
  </si>
  <si>
    <t>URAIAN</t>
  </si>
  <si>
    <t>TOTAL BIAYA</t>
  </si>
  <si>
    <t xml:space="preserve">   A. Cash in</t>
  </si>
  <si>
    <t>Uang Muka (pada awal bulan)</t>
  </si>
  <si>
    <t>Progress 1 (pada awal bulan ke 2)</t>
  </si>
  <si>
    <t>Pembayaran progress minggu 1 bulan ke 2</t>
  </si>
  <si>
    <t>Progress 2 (pada awal bulan ke 3)</t>
  </si>
  <si>
    <t>Pembayaran progress minggu 1 bulan ke 3</t>
  </si>
  <si>
    <t>Progress 3 (pada awal bulan ke 4)</t>
  </si>
  <si>
    <t>Pembayaran progress minggu 1 bulan ke 4</t>
  </si>
  <si>
    <t>Progress 4 (pada awal bulan ke 5)</t>
  </si>
  <si>
    <t>Pembayaran progress minggu 1 bulan ke 5</t>
  </si>
  <si>
    <t>7.</t>
  </si>
  <si>
    <t>Pembayaran retensi</t>
  </si>
  <si>
    <t>Total Cash In</t>
  </si>
  <si>
    <t xml:space="preserve">   B. Cash out</t>
  </si>
  <si>
    <t>Pengembalian Kas kantor</t>
  </si>
  <si>
    <t>Total Cash Out</t>
  </si>
  <si>
    <t>Total Cash In - Cash Out ( 0 )</t>
  </si>
  <si>
    <t>Peminjaman kas Kantor</t>
  </si>
  <si>
    <t>10% dari nilai poyek</t>
  </si>
  <si>
    <t>Pengembalian unang muka 10%</t>
  </si>
  <si>
    <t>Pengembalian</t>
  </si>
  <si>
    <t>DAFTAR HARGA SATUAN DASAR BAHAN DAN UPAH</t>
  </si>
  <si>
    <t xml:space="preserve">Nomor : </t>
  </si>
  <si>
    <t>561/ BA-PJTRP/2015</t>
  </si>
  <si>
    <t>LOKASI</t>
  </si>
  <si>
    <t xml:space="preserve">KETERANGAN </t>
  </si>
  <si>
    <t>HARGA SATUAN DASAR UPAH</t>
  </si>
  <si>
    <t>Premium</t>
  </si>
  <si>
    <t>Rp..........</t>
  </si>
  <si>
    <t>Bungus, Padang</t>
  </si>
  <si>
    <t>Sesuaikan dengan Harga Pertamina</t>
  </si>
  <si>
    <t>Solar</t>
  </si>
  <si>
    <t>HARGA SATUAN (Rp./HARI)</t>
  </si>
  <si>
    <t>Kerosen/Minyak Tanah</t>
  </si>
  <si>
    <t>PEKERJA</t>
  </si>
  <si>
    <t>HARI</t>
  </si>
  <si>
    <t>Minyak Pelumas/Oli</t>
  </si>
  <si>
    <t>Survey</t>
  </si>
  <si>
    <t>TUKANG</t>
  </si>
  <si>
    <t>12,000 - 15,500</t>
  </si>
  <si>
    <t>Base Camp</t>
  </si>
  <si>
    <t>MANDOR</t>
  </si>
  <si>
    <t>Filler</t>
  </si>
  <si>
    <t>OPERATOR ALAT BERAT</t>
  </si>
  <si>
    <t>Cat Besi</t>
  </si>
  <si>
    <t>Buku Standarisasi Harga 2015</t>
  </si>
  <si>
    <t>PEMBANTU OPERATOR ALAT BERAT</t>
  </si>
  <si>
    <t>Cat Tembok</t>
  </si>
  <si>
    <t>SOPIR/DRIVER</t>
  </si>
  <si>
    <t>Bahan Adiktif</t>
  </si>
  <si>
    <t>PEMBANTU SOPIR/DRIVER</t>
  </si>
  <si>
    <t>Pasir Pasangan</t>
  </si>
  <si>
    <r>
      <t>M</t>
    </r>
    <r>
      <rPr>
        <sz val="11"/>
        <color theme="1"/>
        <rFont val="Calibri"/>
        <family val="2"/>
      </rPr>
      <t>³</t>
    </r>
  </si>
  <si>
    <t>MEKANIK</t>
  </si>
  <si>
    <t>Pasir Beton Kasar</t>
  </si>
  <si>
    <t>PEMBANTU MEKANIK</t>
  </si>
  <si>
    <t>Batu Pecah Ukuran 3/4</t>
  </si>
  <si>
    <t>KEPALA TUKANG</t>
  </si>
  <si>
    <t>Batu Pecah Ukuran 2/3</t>
  </si>
  <si>
    <t>TUKANG KAYU</t>
  </si>
  <si>
    <t>Batu Pecah Ukuran 1/2</t>
  </si>
  <si>
    <t>TUKANG BATU</t>
  </si>
  <si>
    <t>Elastomer Jenis 1</t>
  </si>
  <si>
    <t>Buah</t>
  </si>
  <si>
    <t>TUKANG BESI</t>
  </si>
  <si>
    <t>Elastomer Jenis 2</t>
  </si>
  <si>
    <t xml:space="preserve">TUKANG CAT </t>
  </si>
  <si>
    <t>Elastomer Jenis 3</t>
  </si>
  <si>
    <t>TUKANG GENTENG</t>
  </si>
  <si>
    <t>Expansion Tipe Joint Asphatic</t>
  </si>
  <si>
    <t>Expansion Join Tipe Rubber</t>
  </si>
  <si>
    <t>Expansion Join Baja Siku</t>
  </si>
  <si>
    <t>Bahan Pengisi (Filler) Tambahan</t>
  </si>
  <si>
    <t>Bahan Tanah Timbunan</t>
  </si>
  <si>
    <t>Quarry</t>
  </si>
  <si>
    <t>Timbunan Pilihan</t>
  </si>
  <si>
    <t>Sirtu</t>
  </si>
  <si>
    <t>Thiner</t>
  </si>
  <si>
    <t>Liter</t>
  </si>
  <si>
    <t>Lokasi Pekerjaan</t>
  </si>
  <si>
    <t>Besi Beton</t>
  </si>
  <si>
    <t>Kawat Bronjong 4mm</t>
  </si>
  <si>
    <t>Marka (Thermoplastic)</t>
  </si>
  <si>
    <t>Paku</t>
  </si>
  <si>
    <t>Glass Bit</t>
  </si>
  <si>
    <t>Baja Bergelombang</t>
  </si>
  <si>
    <t>Rel Pengaman</t>
  </si>
  <si>
    <t>M'</t>
  </si>
  <si>
    <t xml:space="preserve">Batu Kali </t>
  </si>
  <si>
    <t>Kayu Bekisting (Papan)</t>
  </si>
  <si>
    <t>Kayu Bekisting (Balok)</t>
  </si>
  <si>
    <t>Kayu Perancah</t>
  </si>
  <si>
    <t>Triplek 4mm</t>
  </si>
  <si>
    <t>Lembar</t>
  </si>
  <si>
    <t>Triplek 6mm</t>
  </si>
  <si>
    <t>Triplek 9mm</t>
  </si>
  <si>
    <t>Multipleks 12mm</t>
  </si>
  <si>
    <t>Geotextile</t>
  </si>
  <si>
    <r>
      <t>M</t>
    </r>
    <r>
      <rPr>
        <sz val="11"/>
        <color theme="1"/>
        <rFont val="Calibri"/>
        <family val="2"/>
      </rPr>
      <t>²</t>
    </r>
  </si>
  <si>
    <t>Kawat Las</t>
  </si>
  <si>
    <t>Semen/PC (kg)</t>
  </si>
  <si>
    <t>Padang</t>
  </si>
  <si>
    <t>Baja Tulangan (Polos) U24</t>
  </si>
  <si>
    <t>Cat Minyak</t>
  </si>
  <si>
    <t>Cat Anti Karat</t>
  </si>
  <si>
    <r>
      <t xml:space="preserve">Pipa PVC </t>
    </r>
    <r>
      <rPr>
        <sz val="11"/>
        <color theme="1"/>
        <rFont val="Calibri"/>
        <family val="2"/>
      </rPr>
      <t>Ø ¾" + Klem</t>
    </r>
  </si>
  <si>
    <t>Pemantul Cahaya (Reflector)</t>
  </si>
  <si>
    <t>Pacing Block Tebal 6cm</t>
  </si>
  <si>
    <t>Paving Block Tebal 8cm</t>
  </si>
  <si>
    <t>Batu Kerawang</t>
  </si>
  <si>
    <t>Batu Candi</t>
  </si>
  <si>
    <t>Ton</t>
  </si>
  <si>
    <t>Kayu Papan (Kelas I/Banio)</t>
  </si>
  <si>
    <t>Kayu Balok (Kelas I/Banio)</t>
  </si>
  <si>
    <t>Kayu Papan (Kelas II/Marsawa)</t>
  </si>
  <si>
    <t>Kayu Balok (Kelasi II/Marsawa)</t>
  </si>
  <si>
    <t>Kayu Papan (Kelas III/Meranti)</t>
  </si>
  <si>
    <t xml:space="preserve">Kayu Balok (Kelas III/Meranti) </t>
  </si>
  <si>
    <t>Semen Putih (40Kg)</t>
  </si>
  <si>
    <t>Zak/Kg</t>
  </si>
  <si>
    <t>Paving Block</t>
  </si>
  <si>
    <t>Granit 60x60 (Setara Sandimas) W.610</t>
  </si>
  <si>
    <t>Kotak</t>
  </si>
  <si>
    <t>Keramik 60x60 (Setara Roman)</t>
  </si>
  <si>
    <t>Keramik 40x40 (Setara Roman)</t>
  </si>
  <si>
    <t>Keramik 30x30 (Setara Roman)</t>
  </si>
  <si>
    <t>Keramik 20x20 (Setara Roman)</t>
  </si>
  <si>
    <t>Keramik 20x40 (Setara Roman)</t>
  </si>
  <si>
    <t>Tepung AVA</t>
  </si>
  <si>
    <t>Dus</t>
  </si>
  <si>
    <t>Sekrup Atap 70mm Ø4mm + Penutup</t>
  </si>
  <si>
    <t>Seng Warna (Bandar 11) (Setara Swallow)</t>
  </si>
  <si>
    <t>Kodi</t>
  </si>
  <si>
    <t>Papan Lisplank Eternit Non Asbes Motif Jati 3000x200x80 Setara Kalsiplank</t>
  </si>
  <si>
    <t>Lebar/M²</t>
  </si>
  <si>
    <t>Talang Air PVC (Setara Citra) 4mm</t>
  </si>
  <si>
    <t>Sambungan Talang Air PVC (Setara Citra)</t>
  </si>
  <si>
    <t>Gantungan Talang Air PVC</t>
  </si>
  <si>
    <t>Papan Eternit Non Asbes 2440x1220x45 (Setara Kalsiboard) Ling 4,5</t>
  </si>
  <si>
    <t>Kalsiboad 2440x1220x45 Tebal 4mm</t>
  </si>
  <si>
    <t>Profil Gypsum 10cm</t>
  </si>
  <si>
    <t>Profil Gypsum 5cm</t>
  </si>
  <si>
    <t>Profil Kayu 5cm Setara MA 835</t>
  </si>
  <si>
    <t>Les 1x5x400cm (Biasa)</t>
  </si>
  <si>
    <t>Batang</t>
  </si>
  <si>
    <t>Kawat Ø4mm</t>
  </si>
  <si>
    <t>Paku Sekrup 1cm-2,5cm</t>
  </si>
  <si>
    <t>Triplek Jati Sungkai 3mm</t>
  </si>
  <si>
    <t>Triplek Jati 4mm</t>
  </si>
  <si>
    <t>List Profil (3x3,5x400)</t>
  </si>
  <si>
    <t>M</t>
  </si>
  <si>
    <t>Kuzen Fiber</t>
  </si>
  <si>
    <t>Unit</t>
  </si>
  <si>
    <t>Pintu Fiber Motif Jati + Engsel</t>
  </si>
  <si>
    <t>Kunci Tanam 2 x Slahg dan Handle (Setara SJT)</t>
  </si>
  <si>
    <t>Set</t>
  </si>
  <si>
    <t>Kunci Silinder</t>
  </si>
  <si>
    <t>Gembok 60mm (Setara VYBA)</t>
  </si>
  <si>
    <t>Sekrup Gypsum</t>
  </si>
  <si>
    <t>Engsel Nilon Pintu 4" (Kuningan)/Nilon-ses</t>
  </si>
  <si>
    <t>Engsel Nilon Pintu 3" (Kuningan)/Nilon-ses</t>
  </si>
  <si>
    <t>Engsel 3" (Biasa)</t>
  </si>
  <si>
    <t xml:space="preserve">Kait Angin Kuningan </t>
  </si>
  <si>
    <t>Grendle Kuningan 3"</t>
  </si>
  <si>
    <t>Handle Tangan Jendela</t>
  </si>
  <si>
    <t>3 Kg</t>
  </si>
  <si>
    <t>Cat Air/Dinding (Setara Avitex)</t>
  </si>
  <si>
    <t>5 kg</t>
  </si>
  <si>
    <t>Cat Air/Dinding (Setara Catylac)</t>
  </si>
  <si>
    <t>Cat Air/Plafond (Setara Catylac)</t>
  </si>
  <si>
    <t>Cat Minyak/Cat Warna Emulsi (Setara Avian)</t>
  </si>
  <si>
    <t>Cat Propan (Vernis Batu Alam)</t>
  </si>
  <si>
    <t>Cat Residu atau Ter (Setara Platon)</t>
  </si>
  <si>
    <t>Cat Waterprofing (Setara Aquanet)</t>
  </si>
  <si>
    <t>Plamer Kayu</t>
  </si>
  <si>
    <t>Plamer Tembok</t>
  </si>
  <si>
    <t>Meni Kayu/Besi (Setara kansai)</t>
  </si>
  <si>
    <t>Lem Kayu/Rakol</t>
  </si>
  <si>
    <t>Kuas Cat 1,5"</t>
  </si>
  <si>
    <t>Kuas Cat 2,5"</t>
  </si>
  <si>
    <t>Kloset Jongkok Porselen (Setara KIA)</t>
  </si>
  <si>
    <t>Kloset Duduk (Setara KIA)</t>
  </si>
  <si>
    <t>Urinoir + Asesories (Setara TOTO)</t>
  </si>
  <si>
    <t>Wastafel + Asesories (Setara KIA) Type SUSAN (1263.F.110)</t>
  </si>
  <si>
    <t>Bak Fiber 65x65</t>
  </si>
  <si>
    <r>
      <t xml:space="preserve">Kran </t>
    </r>
    <r>
      <rPr>
        <sz val="11"/>
        <color theme="1"/>
        <rFont val="Calibri"/>
        <family val="2"/>
      </rPr>
      <t>½" Merk San Ei</t>
    </r>
  </si>
  <si>
    <r>
      <t xml:space="preserve">Kran </t>
    </r>
    <r>
      <rPr>
        <sz val="11"/>
        <color theme="1"/>
        <rFont val="Calibri"/>
        <family val="2"/>
      </rPr>
      <t>¾" Merk Stenllis</t>
    </r>
  </si>
  <si>
    <t>Sheal Tape (Setara TBA)</t>
  </si>
  <si>
    <t>Pipa PVC AW Ø ½"</t>
  </si>
  <si>
    <t>Batang/M</t>
  </si>
  <si>
    <t>Pipa PVC AW Ø ¾"</t>
  </si>
  <si>
    <t>Pipa PVC AW  4"</t>
  </si>
  <si>
    <t>Pipa PVC AW 3"</t>
  </si>
  <si>
    <t>Pipa PVC AW 2"</t>
  </si>
  <si>
    <t>Pipa PVC AW 1"</t>
  </si>
  <si>
    <t>Pipa Galvanis  Ø3"</t>
  </si>
  <si>
    <t>Pompa Air (Setara Shimizu)</t>
  </si>
  <si>
    <t>Stop Kontak (Setara Clipsal) + Inbow Dust</t>
  </si>
  <si>
    <t>Saklar Tunggal (Setara Clipsal) + Inbow Dust</t>
  </si>
  <si>
    <t>Saklar Double (Setara Clipsal) + Inbow Dust</t>
  </si>
  <si>
    <t>Saklar Triple (Setara Clipsal) + Inbow Dust</t>
  </si>
  <si>
    <t>Elektrod/Kawat Las RB 2,6mm</t>
  </si>
  <si>
    <t>Kawat Harmonika</t>
  </si>
  <si>
    <t>Seng BJLS 20</t>
  </si>
  <si>
    <t>Seng BJls 20</t>
  </si>
  <si>
    <t>Parabung BJLS 30</t>
  </si>
  <si>
    <t>dolken kayu</t>
  </si>
  <si>
    <t>lokasi pekerjaan</t>
  </si>
  <si>
    <t>survey</t>
  </si>
  <si>
    <t>semen portland</t>
  </si>
  <si>
    <t xml:space="preserve">lokasi pekerjaan </t>
  </si>
  <si>
    <t>koral beton</t>
  </si>
  <si>
    <t>kayu 5/7</t>
  </si>
  <si>
    <t>papan 3/20</t>
  </si>
  <si>
    <t>seng gelombang 3''-5''</t>
  </si>
  <si>
    <t>air</t>
  </si>
  <si>
    <t>polywood 9mm 1,20 x 2,40</t>
  </si>
  <si>
    <t>lmbr</t>
  </si>
  <si>
    <t>bata merah 5 X 11 X 22</t>
  </si>
  <si>
    <t>pc</t>
  </si>
  <si>
    <t>besi strip tebal 5mm</t>
  </si>
  <si>
    <t>besi hollow</t>
  </si>
  <si>
    <t>alat bantu</t>
  </si>
  <si>
    <t>list kayu profil</t>
  </si>
  <si>
    <t>pp</t>
  </si>
  <si>
    <t>engsel pintu alumanium</t>
  </si>
  <si>
    <t>hak angin</t>
  </si>
  <si>
    <t>psg</t>
  </si>
  <si>
    <t>kaca polos 5 mm</t>
  </si>
  <si>
    <t>alat bantu dan perlengkapan</t>
  </si>
  <si>
    <t>%</t>
  </si>
  <si>
    <t>cat meni</t>
  </si>
  <si>
    <t>plamir(dompol tembok)</t>
  </si>
  <si>
    <t>semen abu-abu</t>
  </si>
  <si>
    <t>ijuk saringan</t>
  </si>
  <si>
    <t>pipa hawa 2''</t>
  </si>
  <si>
    <t>KR</t>
  </si>
  <si>
    <t>beton bertulang</t>
  </si>
  <si>
    <t>plesteran 1:4</t>
  </si>
  <si>
    <t>beton 1 : 2 : 3</t>
  </si>
  <si>
    <t>urugan kembali</t>
  </si>
  <si>
    <t>galian tanah</t>
  </si>
  <si>
    <t>RENCANA ANGGARAN BIAYA</t>
  </si>
  <si>
    <t>TENAGA / UPAH</t>
  </si>
  <si>
    <t>BAHAN / MATERIAL</t>
  </si>
  <si>
    <t>PERALATAN</t>
  </si>
  <si>
    <t>Pengadaan, Pemancangan &amp; Penyambungan Spun pile Ø 600 / M1</t>
  </si>
  <si>
    <t>Pengadaan Spun pile Ø 600 / M1</t>
  </si>
  <si>
    <t>Pemancangan Spun pile Ø 600 / M1</t>
  </si>
  <si>
    <t>Penyambungan Spun pile Ø 600 / Titik</t>
  </si>
  <si>
    <r>
      <t xml:space="preserve">Jumlah Tenaga Kerja                                                                                                              </t>
    </r>
    <r>
      <rPr>
        <sz val="10"/>
        <rFont val="Calibri"/>
        <family val="2"/>
        <scheme val="minor"/>
      </rPr>
      <t>-</t>
    </r>
  </si>
  <si>
    <r>
      <t xml:space="preserve">Jumlah Alat Bantu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-</t>
    </r>
  </si>
  <si>
    <r>
      <t xml:space="preserve">Jumlah Harga Bahan                                                                                                              </t>
    </r>
    <r>
      <rPr>
        <sz val="10"/>
        <rFont val="Calibri"/>
        <family val="2"/>
        <scheme val="minor"/>
      </rPr>
      <t>-</t>
    </r>
  </si>
  <si>
    <t>Aspal ( Curah )</t>
  </si>
  <si>
    <t>ESTIMASI KONSEPTUAL</t>
  </si>
  <si>
    <t>Keterangan</t>
  </si>
  <si>
    <t xml:space="preserve">Lokasi </t>
  </si>
  <si>
    <t>Waktu Pelaksanaan</t>
  </si>
  <si>
    <t>Jumlah Lantai</t>
  </si>
  <si>
    <t>Terdiri Atas</t>
  </si>
  <si>
    <r>
      <t>y = 0,999x</t>
    </r>
    <r>
      <rPr>
        <vertAlign val="superscript"/>
        <sz val="12"/>
        <color theme="1"/>
        <rFont val="Times New Roman"/>
        <family val="1"/>
      </rPr>
      <t xml:space="preserve">0,104 </t>
    </r>
  </si>
  <si>
    <t>Total Luas lantai Bangunan</t>
  </si>
  <si>
    <t>Fasilitas Gedung</t>
  </si>
  <si>
    <t>1. Pekerjaan Elevator/Eskalator</t>
  </si>
  <si>
    <t xml:space="preserve">I. Dasar Perhitungan </t>
  </si>
  <si>
    <t>/m2</t>
  </si>
  <si>
    <t>II. Biaya Bangunan Standard</t>
  </si>
  <si>
    <t xml:space="preserve">Luas Bangunan (M2) : </t>
  </si>
  <si>
    <t>x</t>
  </si>
  <si>
    <t>=</t>
  </si>
  <si>
    <t>II. Total Biaya Bangunan Standar</t>
  </si>
  <si>
    <t>III. Biaya Bangunan Non standard</t>
  </si>
  <si>
    <t>2. Pekerjaan Proteksi Kebakaran</t>
  </si>
  <si>
    <t>3. Pekerjaan Elektrikal</t>
  </si>
  <si>
    <t>4. Peningkatan Mutu</t>
  </si>
  <si>
    <t xml:space="preserve">5. Pondasi Dalam </t>
  </si>
  <si>
    <t>8. Pekerjaan Instalasi IT</t>
  </si>
  <si>
    <t>10. Sarana dan Prasarana Lingkungan</t>
  </si>
  <si>
    <t>11. Alat Pengkondisian Udara</t>
  </si>
  <si>
    <t>III. Total Biaya Bangunan Non Standar</t>
  </si>
  <si>
    <t xml:space="preserve">6 lantai </t>
  </si>
  <si>
    <t>Lt. 1</t>
  </si>
  <si>
    <t>Harga Bangunan Gedung standart (tidak sederhana) di Padang Th 2015 :</t>
  </si>
  <si>
    <t>PEMBANGUNAN GEDUNG MAPOLDA SUMATRA BARAT</t>
  </si>
  <si>
    <t>Padang, Sumatra Barat</t>
  </si>
  <si>
    <t>AREA</t>
  </si>
  <si>
    <t>VOID</t>
  </si>
  <si>
    <t>LANTAI 1</t>
  </si>
  <si>
    <t>LUAS Bersih</t>
  </si>
  <si>
    <t>LANTAI 2</t>
  </si>
  <si>
    <t>LANTAI 3</t>
  </si>
  <si>
    <t>LANTAI 4</t>
  </si>
  <si>
    <t>LANTAI ATAP</t>
  </si>
  <si>
    <t>Helipad dan LANTAI ATAP</t>
  </si>
  <si>
    <t>6. Pekerjaan Tata Suara</t>
  </si>
  <si>
    <t>7. Pekerjaan Telepon</t>
  </si>
  <si>
    <t>9. Instalasi Pengolahan Air Limbah</t>
  </si>
  <si>
    <t>20-30</t>
  </si>
  <si>
    <t>Range</t>
  </si>
  <si>
    <t>persentase rio</t>
  </si>
  <si>
    <t>20.62</t>
  </si>
  <si>
    <t>Pekerjaan Elevator/Eskalator</t>
  </si>
  <si>
    <t>Pekerjaan Proteksi Kebakaran</t>
  </si>
  <si>
    <t>Pekerjaan Elektrikal</t>
  </si>
  <si>
    <t>Peningkatan Mutu</t>
  </si>
  <si>
    <t>Pondasi Dalam</t>
  </si>
  <si>
    <t>Pekerjaan Tata Suara</t>
  </si>
  <si>
    <t>Pekerjaan Telepon</t>
  </si>
  <si>
    <t>Pekerjaan Instalasi IT</t>
  </si>
  <si>
    <t>Instalasi Pengolahan Air Limbah</t>
  </si>
  <si>
    <t>Sarana dan Prasarana Lingkungan</t>
  </si>
  <si>
    <t>Alat Pengkondisian Udara</t>
  </si>
  <si>
    <t xml:space="preserve">Harga Bangunan  Gedung Standard 6 Lt (tidak sederhana) di Padang Th 2015 : </t>
  </si>
  <si>
    <t>Koefisien pengali untuk bangunan gedung 6 Lt :</t>
  </si>
  <si>
    <t>Biaya Banguna Standard Pembangunan gedung 6 Lt (tidak Sederhana ) di Padang Th 2015 :</t>
  </si>
  <si>
    <t>IV.Jasa Perencanaan, Manajemen dan Pengelolaan Kegiatan Kontruksi</t>
  </si>
  <si>
    <t>Jasa Perencanaan, Manajemen, Pengawasan dan Pengelolaan Kegiatan Konstruksi tersebut dihitung berdasarkan :</t>
  </si>
  <si>
    <t>Peraturan Menteri PU Nomor : 45/PRT/M/2007</t>
  </si>
  <si>
    <t>1). Jasa Perencanaan (interpolasi) :</t>
  </si>
  <si>
    <r>
      <rPr>
        <sz val="10"/>
        <color theme="1"/>
        <rFont val="Arial"/>
        <family val="2"/>
      </rPr>
      <t>X</t>
    </r>
    <r>
      <rPr>
        <sz val="8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 xml:space="preserve"> : </t>
    </r>
  </si>
  <si>
    <r>
      <rPr>
        <sz val="10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k+1</t>
    </r>
    <r>
      <rPr>
        <sz val="9"/>
        <color theme="1"/>
        <rFont val="Calibri"/>
        <family val="2"/>
        <scheme val="minor"/>
      </rPr>
      <t xml:space="preserve"> : </t>
    </r>
  </si>
  <si>
    <r>
      <t>Y</t>
    </r>
    <r>
      <rPr>
        <sz val="8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 xml:space="preserve"> : </t>
    </r>
  </si>
  <si>
    <r>
      <rPr>
        <sz val="10"/>
        <color theme="1"/>
        <rFont val="Calibri"/>
        <family val="2"/>
        <scheme val="minor"/>
      </rPr>
      <t>Y</t>
    </r>
    <r>
      <rPr>
        <sz val="8"/>
        <color theme="1"/>
        <rFont val="Calibri"/>
        <family val="2"/>
        <scheme val="minor"/>
      </rPr>
      <t>k+1</t>
    </r>
    <r>
      <rPr>
        <sz val="9"/>
        <color theme="1"/>
        <rFont val="Calibri"/>
        <family val="2"/>
        <scheme val="minor"/>
      </rPr>
      <t xml:space="preserve"> : </t>
    </r>
  </si>
  <si>
    <t xml:space="preserve">x : </t>
  </si>
  <si>
    <t xml:space="preserve">y : </t>
  </si>
  <si>
    <t>Biaya Jasa Perencanaan (interpolasi) :</t>
  </si>
  <si>
    <t>2). Jasa Manajemen Konstruksi (interpolasi) :</t>
  </si>
  <si>
    <t>Biaya Jasa Manajemen Konstruksi (interpolasi) :</t>
  </si>
  <si>
    <t>3). Jasa Pengelolaan Kegiatan (interpolasi)</t>
  </si>
  <si>
    <t>Biaya Jasa Pengelolaan Kegiatan (interpolasi)</t>
  </si>
  <si>
    <t>Pekerjaan Plat Balok</t>
  </si>
  <si>
    <t>Jumlah Biaya Pembangunan Fisik Standard dan Non Standard (II + III)</t>
  </si>
  <si>
    <t>Total Biaya Non Fisik Perencanaan, Manajemen  dan Pengelolaan Kegiatan</t>
  </si>
  <si>
    <t>V. Total biaya Pembangunan Fisik dan Non Fisik Keseluruhan (II+III+IV)</t>
  </si>
  <si>
    <t>Retensi 5 %</t>
  </si>
  <si>
    <t>Pinjaman kantor (bulan 5 akhir minggu ke 2 )</t>
  </si>
  <si>
    <t>Lt Dasar</t>
  </si>
  <si>
    <t>Lt. 2</t>
  </si>
  <si>
    <t>Lt. 3</t>
  </si>
  <si>
    <t>Lt. 4</t>
  </si>
  <si>
    <t>Lantai dasar &amp; 1</t>
  </si>
  <si>
    <t>Lantai 3 &amp; 4</t>
  </si>
  <si>
    <t>Lantai 6</t>
  </si>
  <si>
    <t>Lantai 7-9</t>
  </si>
  <si>
    <t>Lantai 10-12</t>
  </si>
  <si>
    <t>Lantai 13-15</t>
  </si>
  <si>
    <t>Lantai 16&amp;17</t>
  </si>
  <si>
    <t>Lantai 5 -7</t>
  </si>
  <si>
    <t>Lantai Dasar &amp; 1</t>
  </si>
  <si>
    <t>Lantai 5 - Atap</t>
  </si>
  <si>
    <t>Lantai 5-12</t>
  </si>
  <si>
    <t>.Plat Lantai</t>
  </si>
  <si>
    <t>Pembayaran progress minggu terakhir bulan ke 6</t>
  </si>
  <si>
    <t>Progress 5 (pada akhir bulan ke 6)</t>
  </si>
  <si>
    <t>: GRAND LIBERTY HOTEL</t>
  </si>
  <si>
    <t>: CV. PRIMA ABADI JAYA</t>
  </si>
  <si>
    <t>: DICKY RIFANI PASARIBU</t>
  </si>
  <si>
    <t>PROYEK GRAND LIBERTY HOTEL</t>
  </si>
  <si>
    <t>: MEDAN</t>
  </si>
  <si>
    <t xml:space="preserve">pada pekerjaan kolom lantai 1-lantai atap berdurasi 22 minggu, pekerjaan kolom ini di mulai setelah pekerjaan plat lantai dasar selesai </t>
  </si>
  <si>
    <t xml:space="preserve">  pekerjaan balok lantai 1- lantai atap berdurasi 22 minggu, pekerjaan balok ini dimulai setelah pekerjaan kolom selesai dan waktu pelaksanaan seiring dengan pekerjaan plat lantai.</t>
  </si>
  <si>
    <t xml:space="preserve">pekerjaan plat lantai 1- lantai atap berdurasi 22 minggu plat lantai pelaksanaanya seiring dengan balok </t>
  </si>
  <si>
    <t>pekerjaan tangga lantai 1 - lantai atap berdurasi 11 minggu, pekerjaan tangga ini dimulai seiring dengan pekerjaan plat lantai pada awal pekerjaan dengan durasi yang berbeda (lebih sedikit) dengan pekerjaan plat lantai.</t>
  </si>
  <si>
    <t>Dibayar pada (bulan 6 akhir minggu ke 4 )</t>
  </si>
  <si>
    <t>Lantai 8-17</t>
  </si>
  <si>
    <t>Lantai Dasar - 4</t>
  </si>
  <si>
    <t>ANALISA HARGA SATUAN PEKERJAAN</t>
  </si>
  <si>
    <r>
      <rPr>
        <b/>
        <sz val="12"/>
        <color theme="1"/>
        <rFont val="Times New Roman"/>
        <family val="1"/>
      </rPr>
      <t>Terbilang</t>
    </r>
    <r>
      <rPr>
        <sz val="12"/>
        <color theme="1"/>
        <rFont val="Times New Roman"/>
        <family val="1"/>
      </rPr>
      <t xml:space="preserve"> : Dua Puluh Empat Milyar Enam Ratus Enam Puluh Dua Juta Tujuh Puluh Ribu Lima Ratus Empat Puluh Empat Koma Sembilan Tujuh Rupiah</t>
    </r>
  </si>
  <si>
    <t>Proyek</t>
  </si>
  <si>
    <t>Pembangunan Grand Liberty Hotel Medan</t>
  </si>
  <si>
    <t>Pekerjaan</t>
  </si>
  <si>
    <t>TO By</t>
  </si>
  <si>
    <t>Dicky Rifani Pasaribu</t>
  </si>
  <si>
    <t>Lingkup Perhitugan</t>
  </si>
  <si>
    <t xml:space="preserve">Beton dan Bekisting </t>
  </si>
  <si>
    <t xml:space="preserve">Pembesian </t>
  </si>
  <si>
    <t>Kode</t>
  </si>
  <si>
    <t>Dimensi</t>
  </si>
  <si>
    <t>Tebal</t>
  </si>
  <si>
    <t xml:space="preserve">Tinggi </t>
  </si>
  <si>
    <t>Diameter</t>
  </si>
  <si>
    <t>Diameter Tulangan Sengkang</t>
  </si>
  <si>
    <t>Jarak Sengkang</t>
  </si>
  <si>
    <t>Tulangan Sengkang</t>
  </si>
  <si>
    <t xml:space="preserve">Panjang </t>
  </si>
  <si>
    <t>Panjang Tulangan Sengkang</t>
  </si>
  <si>
    <t>Total Panjang</t>
  </si>
  <si>
    <t>Total Panjang Tulangan Sengkang</t>
  </si>
  <si>
    <t>Koefisein</t>
  </si>
  <si>
    <t>Koefisien Tulangan Sengkang</t>
  </si>
  <si>
    <t>Berat</t>
  </si>
  <si>
    <t>Ratio</t>
  </si>
  <si>
    <t>P</t>
  </si>
  <si>
    <t>L</t>
  </si>
  <si>
    <t>T</t>
  </si>
  <si>
    <t>Plat Lantai</t>
  </si>
  <si>
    <t>Bersih</t>
  </si>
  <si>
    <t>Panjang</t>
  </si>
  <si>
    <t>Ties</t>
  </si>
  <si>
    <t>Tulangan Utama</t>
  </si>
  <si>
    <t>Parimeter</t>
  </si>
  <si>
    <t xml:space="preserve">Tulangan </t>
  </si>
  <si>
    <t>Tulangan</t>
  </si>
  <si>
    <t>Cross Bar</t>
  </si>
  <si>
    <r>
      <t>( Kg/M</t>
    </r>
    <r>
      <rPr>
        <sz val="10"/>
        <color theme="1"/>
        <rFont val="Calibri"/>
        <family val="2"/>
      </rPr>
      <t>³ )</t>
    </r>
  </si>
  <si>
    <t>V</t>
  </si>
  <si>
    <t>Utama</t>
  </si>
  <si>
    <r>
      <t>m</t>
    </r>
    <r>
      <rPr>
        <sz val="10"/>
        <color theme="1"/>
        <rFont val="Calibri"/>
        <family val="2"/>
      </rPr>
      <t>³</t>
    </r>
  </si>
  <si>
    <r>
      <t>m</t>
    </r>
    <r>
      <rPr>
        <sz val="10"/>
        <color theme="1"/>
        <rFont val="Calibri"/>
        <family val="2"/>
      </rPr>
      <t>²</t>
    </r>
  </si>
  <si>
    <t>mm</t>
  </si>
  <si>
    <t>Kg/m</t>
  </si>
  <si>
    <t>Kolom Lantai Dasar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</si>
  <si>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</si>
  <si>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</si>
  <si>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</si>
  <si>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</si>
  <si>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</si>
  <si>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</si>
  <si>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</si>
  <si>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</si>
  <si>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</si>
  <si>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</si>
  <si>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besi  utama</t>
  </si>
  <si>
    <t>Panjang Rulangan Sengkang</t>
  </si>
  <si>
    <t>Kolom Lantai 1</t>
  </si>
  <si>
    <t>Kolom Lantai 2</t>
  </si>
  <si>
    <t>Kolom Lantai 3</t>
  </si>
  <si>
    <t>Kolom Lantai 4</t>
  </si>
  <si>
    <t>Kolom Lantai 5</t>
  </si>
  <si>
    <t>Kolom Lantai 6</t>
  </si>
  <si>
    <t>Kolom Lantai 7</t>
  </si>
  <si>
    <t>Kolom Lantai 8</t>
  </si>
  <si>
    <t>Kolom Lantai 9</t>
  </si>
  <si>
    <t>Kolom Lantai 10</t>
  </si>
  <si>
    <t>Kolom Lantai 11</t>
  </si>
  <si>
    <t>Kolom Lantai 12</t>
  </si>
  <si>
    <t>Kolom Lantai 13</t>
  </si>
  <si>
    <t>Kolom Lantai 14</t>
  </si>
  <si>
    <t>Kolom Lantai 15</t>
  </si>
  <si>
    <t>Kolom Lantai 16</t>
  </si>
  <si>
    <t>Kolom Lantai 17</t>
  </si>
  <si>
    <t>STRUKTUR ATAS PROYEK GRAND LIBERTY HOTEL MEDAN</t>
  </si>
  <si>
    <t xml:space="preserve">Dicky Rifani Pasaribu </t>
  </si>
  <si>
    <t>Koordinat</t>
  </si>
  <si>
    <t xml:space="preserve">Jumlah </t>
  </si>
  <si>
    <t>Jumlah</t>
  </si>
  <si>
    <t>Tinggi</t>
  </si>
  <si>
    <t>Diameter Tulangan Utama</t>
  </si>
  <si>
    <t>Diameter Sengkang</t>
  </si>
  <si>
    <t>No Of Main Bar</t>
  </si>
  <si>
    <t>Banyak besi</t>
  </si>
  <si>
    <t>Panjang Tulangan Utana</t>
  </si>
  <si>
    <t>Panjang Sengkang</t>
  </si>
  <si>
    <t>Total Panjang Tulangan Utama</t>
  </si>
  <si>
    <t>Total Panjang Sengkang</t>
  </si>
  <si>
    <t>Koefisien Tulangan Utama</t>
  </si>
  <si>
    <t>Lantai</t>
  </si>
  <si>
    <r>
      <t>(m</t>
    </r>
    <r>
      <rPr>
        <sz val="10"/>
        <color theme="1"/>
        <rFont val="Calibri"/>
        <family val="2"/>
      </rPr>
      <t>³</t>
    </r>
    <r>
      <rPr>
        <sz val="10"/>
        <color theme="1"/>
        <rFont val="Times New Roman"/>
        <family val="1"/>
      </rPr>
      <t>)</t>
    </r>
  </si>
  <si>
    <t>Sambungan</t>
  </si>
  <si>
    <t xml:space="preserve">T </t>
  </si>
  <si>
    <t>Sengkang</t>
  </si>
  <si>
    <r>
      <t>Kg/M</t>
    </r>
    <r>
      <rPr>
        <sz val="10"/>
        <color theme="1"/>
        <rFont val="Calibri"/>
        <family val="2"/>
      </rPr>
      <t>³</t>
    </r>
  </si>
  <si>
    <t>(m)</t>
  </si>
  <si>
    <r>
      <t>(m</t>
    </r>
    <r>
      <rPr>
        <sz val="10"/>
        <color theme="1"/>
        <rFont val="Calibri"/>
        <family val="2"/>
      </rPr>
      <t>²)</t>
    </r>
  </si>
  <si>
    <t>T &amp; 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</si>
  <si>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</si>
  <si>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</si>
  <si>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</si>
  <si>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</si>
  <si>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</si>
  <si>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</si>
  <si>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</si>
  <si>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</si>
  <si>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</si>
  <si>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(mm)</t>
  </si>
  <si>
    <t>(bh)</t>
  </si>
  <si>
    <t>Balok Lantai Dasar</t>
  </si>
  <si>
    <t>Vertikal</t>
  </si>
  <si>
    <t>A-H/2-8</t>
  </si>
  <si>
    <t>B22</t>
  </si>
  <si>
    <t>H-I/4-8</t>
  </si>
  <si>
    <t>A-H/1-2</t>
  </si>
  <si>
    <t>B21</t>
  </si>
  <si>
    <t>A-I/8-9</t>
  </si>
  <si>
    <t>B23</t>
  </si>
  <si>
    <t>A'-G'/10-11</t>
  </si>
  <si>
    <t>B2</t>
  </si>
  <si>
    <t>A-H/10-11</t>
  </si>
  <si>
    <t>B24</t>
  </si>
  <si>
    <t>A-H/11-12</t>
  </si>
  <si>
    <t>B25</t>
  </si>
  <si>
    <t>A'-G'/11-12</t>
  </si>
  <si>
    <t>B16</t>
  </si>
  <si>
    <t>A/10-12,G'/11-12</t>
  </si>
  <si>
    <t>B28</t>
  </si>
  <si>
    <t>G'/10-11</t>
  </si>
  <si>
    <t>B30</t>
  </si>
  <si>
    <t>Horizontal</t>
  </si>
  <si>
    <t>A-B/1'-9</t>
  </si>
  <si>
    <t>B12A</t>
  </si>
  <si>
    <t>A-B/1-8</t>
  </si>
  <si>
    <t>B12</t>
  </si>
  <si>
    <t>B-H/1-12</t>
  </si>
  <si>
    <t>B19</t>
  </si>
  <si>
    <t>B-H/1'-9</t>
  </si>
  <si>
    <t>B13</t>
  </si>
  <si>
    <t>C-F/1'-9</t>
  </si>
  <si>
    <t>B14</t>
  </si>
  <si>
    <t>D-E/1'-9</t>
  </si>
  <si>
    <t>B20</t>
  </si>
  <si>
    <t>D-E/1-12</t>
  </si>
  <si>
    <t>B19A</t>
  </si>
  <si>
    <t>G-H/2'-9</t>
  </si>
  <si>
    <t>B15</t>
  </si>
  <si>
    <t>H-I/4'-9</t>
  </si>
  <si>
    <t>B15A</t>
  </si>
  <si>
    <t>B19B</t>
  </si>
  <si>
    <t>A-B/10-12</t>
  </si>
  <si>
    <t>B18</t>
  </si>
  <si>
    <t>A-B/10-11</t>
  </si>
  <si>
    <t>B18A</t>
  </si>
  <si>
    <t>G-H/10-12</t>
  </si>
  <si>
    <t>B19C</t>
  </si>
  <si>
    <t>Balok Lantai 1</t>
  </si>
  <si>
    <t>I/4-8</t>
  </si>
  <si>
    <t>Balok Lantai 2</t>
  </si>
  <si>
    <t>A-C/2-8</t>
  </si>
  <si>
    <t>B/3-4</t>
  </si>
  <si>
    <t>B22A</t>
  </si>
  <si>
    <t>G/4-9</t>
  </si>
  <si>
    <t>A-B/8-9</t>
  </si>
  <si>
    <t>B/1-3</t>
  </si>
  <si>
    <t>B21A</t>
  </si>
  <si>
    <t>E-F/1'</t>
  </si>
  <si>
    <t>G-H/2'</t>
  </si>
  <si>
    <t>H-I/9</t>
  </si>
  <si>
    <t>H-I/4</t>
  </si>
  <si>
    <t>A-B/12</t>
  </si>
  <si>
    <t>Balok Lantai 3</t>
  </si>
  <si>
    <t>A-C/2-8,/H/3-4</t>
  </si>
  <si>
    <t>A-C/1-2</t>
  </si>
  <si>
    <t>B-C/1'-3'</t>
  </si>
  <si>
    <t>D-E/4-12</t>
  </si>
  <si>
    <t>G-H/9</t>
  </si>
  <si>
    <t>B17</t>
  </si>
  <si>
    <t>Pembangunan Gedung Universitas Islam Indragiri (UNISI) Tembilahan</t>
  </si>
  <si>
    <t>Dian</t>
  </si>
  <si>
    <t>Balok Lantai 4</t>
  </si>
  <si>
    <t>B-G/1'-9</t>
  </si>
  <si>
    <t>D-E/1'-3',G-H/5-8</t>
  </si>
  <si>
    <t>G-H/4'-9</t>
  </si>
  <si>
    <t>G-H/4</t>
  </si>
  <si>
    <t>B10</t>
  </si>
  <si>
    <t>Balok Lantai 5</t>
  </si>
  <si>
    <t>A/1-8</t>
  </si>
  <si>
    <t>A'-G'/9-10</t>
  </si>
  <si>
    <t>B1</t>
  </si>
  <si>
    <t>A-H/8-9</t>
  </si>
  <si>
    <t>B9</t>
  </si>
  <si>
    <t>G'/8-10</t>
  </si>
  <si>
    <t>A-B/8</t>
  </si>
  <si>
    <t>B7</t>
  </si>
  <si>
    <t>B-C,F-G/8,10</t>
  </si>
  <si>
    <t>C-D,E-F/8-10</t>
  </si>
  <si>
    <t>B10B</t>
  </si>
  <si>
    <t>B10A</t>
  </si>
  <si>
    <t>G-H/8</t>
  </si>
  <si>
    <t>B7A</t>
  </si>
  <si>
    <t>B-D-E-G'/9</t>
  </si>
  <si>
    <t>B11</t>
  </si>
  <si>
    <t>A'-B/9</t>
  </si>
  <si>
    <t>B11A</t>
  </si>
  <si>
    <t>A-B/10</t>
  </si>
  <si>
    <t>G-H/10</t>
  </si>
  <si>
    <t>Balok Lantai 6</t>
  </si>
  <si>
    <t>Balok Lantai 7</t>
  </si>
  <si>
    <t>D-E/8-9</t>
  </si>
  <si>
    <t>Balok Lantai 8</t>
  </si>
  <si>
    <t>B8</t>
  </si>
  <si>
    <t>B-C,F-G/8</t>
  </si>
  <si>
    <t>B3C</t>
  </si>
  <si>
    <t>B-C,F-G/10</t>
  </si>
  <si>
    <t>B3</t>
  </si>
  <si>
    <t>B3B</t>
  </si>
  <si>
    <t>B3A</t>
  </si>
  <si>
    <t>B-C,F-G'/9</t>
  </si>
  <si>
    <t>B4</t>
  </si>
  <si>
    <t>D-E/8</t>
  </si>
  <si>
    <t>B4A</t>
  </si>
  <si>
    <t>C-D,E-F/9</t>
  </si>
  <si>
    <t>B4B</t>
  </si>
  <si>
    <t>Balok Lantai 9</t>
  </si>
  <si>
    <t>Balok Lantai 10</t>
  </si>
  <si>
    <t>Balok Lantai 11</t>
  </si>
  <si>
    <t>Balok Lantai 12</t>
  </si>
  <si>
    <t>Balok Lantai 13</t>
  </si>
  <si>
    <t>Balok Lantai 14</t>
  </si>
  <si>
    <t>Balok Lantai 15</t>
  </si>
  <si>
    <t>Balok Lantai 16</t>
  </si>
  <si>
    <t>Balok Lantai 17</t>
  </si>
  <si>
    <t>Grand Liberty Hotel Medan</t>
  </si>
  <si>
    <t>Coordinate</t>
  </si>
  <si>
    <t>No. Of</t>
  </si>
  <si>
    <t xml:space="preserve">No. Of </t>
  </si>
  <si>
    <t>Dimension</t>
  </si>
  <si>
    <t>Concrete</t>
  </si>
  <si>
    <t>Formwork</t>
  </si>
  <si>
    <t>Dia. Bar</t>
  </si>
  <si>
    <t>Spacing</t>
  </si>
  <si>
    <t>No. Of Bar</t>
  </si>
  <si>
    <t>Over Lap</t>
  </si>
  <si>
    <t>Length</t>
  </si>
  <si>
    <t xml:space="preserve">Length Bar </t>
  </si>
  <si>
    <t>Total Length Bar</t>
  </si>
  <si>
    <t>Constanta</t>
  </si>
  <si>
    <t>Weight</t>
  </si>
  <si>
    <t>Floor</t>
  </si>
  <si>
    <t>Slab</t>
  </si>
  <si>
    <t>Area</t>
  </si>
  <si>
    <t>Thick</t>
  </si>
  <si>
    <t>Side</t>
  </si>
  <si>
    <t>Down</t>
  </si>
  <si>
    <t>Long</t>
  </si>
  <si>
    <t>Wide</t>
  </si>
  <si>
    <t>Over lap</t>
  </si>
  <si>
    <t>A.</t>
  </si>
  <si>
    <t>Slab 1st Floor</t>
  </si>
  <si>
    <t>A'-F'/1-12</t>
  </si>
  <si>
    <r>
      <t xml:space="preserve">Less Bar, Concrete Void </t>
    </r>
    <r>
      <rPr>
        <sz val="10"/>
        <rFont val="Times New Roman"/>
        <family val="1"/>
      </rPr>
      <t>and Add Formwork Side Void</t>
    </r>
  </si>
  <si>
    <t>Less Bar</t>
  </si>
  <si>
    <t>Void 1</t>
  </si>
  <si>
    <t>Slab Lantai Dasar</t>
  </si>
  <si>
    <t>A-H/1-12</t>
  </si>
  <si>
    <t>H-I/4-9</t>
  </si>
  <si>
    <t>Void 2</t>
  </si>
  <si>
    <t>Slab Lantai 1</t>
  </si>
  <si>
    <t>C</t>
  </si>
  <si>
    <t>Slab Lantai 2</t>
  </si>
  <si>
    <t>D</t>
  </si>
  <si>
    <t>Slab Lantai 3-4</t>
  </si>
  <si>
    <t>Slab Lantai 5-ATAP</t>
  </si>
  <si>
    <t>A-H/8-10</t>
  </si>
  <si>
    <t>GRAND LIBERTY HOTEL MEDAN</t>
  </si>
  <si>
    <t>MEDAN</t>
  </si>
  <si>
    <t>STAIR</t>
  </si>
  <si>
    <t>CODE STAIR</t>
  </si>
  <si>
    <t>FLOOR</t>
  </si>
  <si>
    <t>GRID LINE</t>
  </si>
  <si>
    <t>DIMENSI</t>
  </si>
  <si>
    <t>Banyak</t>
  </si>
  <si>
    <t>END OF</t>
  </si>
  <si>
    <t>CONCRETE
(m3)</t>
  </si>
  <si>
    <t>FORMWORK
(m2)</t>
  </si>
  <si>
    <t>PEMBESIAN</t>
  </si>
  <si>
    <t>REINFORCEMENT</t>
  </si>
  <si>
    <t>PEMBESIAN ANAK TANGGA</t>
  </si>
  <si>
    <t>PEMBESIAN PLAT TANGGA</t>
  </si>
  <si>
    <t>W/H
(m)</t>
  </si>
  <si>
    <t>H/V
(m)</t>
  </si>
  <si>
    <t>L
(m)</t>
  </si>
  <si>
    <t>Dia</t>
  </si>
  <si>
    <t>SPACE</t>
  </si>
  <si>
    <t>No (A)</t>
  </si>
  <si>
    <t>MAIN BAR (m)</t>
  </si>
  <si>
    <t>Band</t>
  </si>
  <si>
    <t>Total
length (m)</t>
  </si>
  <si>
    <t>lapping</t>
  </si>
  <si>
    <t>Lapis</t>
  </si>
  <si>
    <t>LEFT</t>
  </si>
  <si>
    <t>TANGGA TYPE 1</t>
  </si>
  <si>
    <t>TYPE 1</t>
  </si>
  <si>
    <t>Lantai Dasar</t>
  </si>
  <si>
    <t>ANAK TANGGA</t>
  </si>
  <si>
    <t>BEKISTING ANAK</t>
  </si>
  <si>
    <t>BESI UTAMA</t>
  </si>
  <si>
    <t>VERTIKAL 1</t>
  </si>
  <si>
    <t>PLAT TANGGA</t>
  </si>
  <si>
    <t>BEKISTING SAMPING ANAK</t>
  </si>
  <si>
    <t>BESI ANAK</t>
  </si>
  <si>
    <t>VERTIKAL 2</t>
  </si>
  <si>
    <t>BORDES</t>
  </si>
  <si>
    <t>SISI SAMPING PLAT</t>
  </si>
  <si>
    <t>VERTIKAL 3</t>
  </si>
  <si>
    <t>SAMPING BORDES</t>
  </si>
  <si>
    <t>HORIZONTAL1</t>
  </si>
  <si>
    <t>SISI BAWAH PLAT</t>
  </si>
  <si>
    <t>SISI BAWAH BORDES</t>
  </si>
  <si>
    <t>VERTIKAL 4</t>
  </si>
  <si>
    <t>lantai 7</t>
  </si>
  <si>
    <t>lantai 8</t>
  </si>
  <si>
    <t>lantai 9</t>
  </si>
  <si>
    <t>lantai 10</t>
  </si>
  <si>
    <t>lantai 11</t>
  </si>
  <si>
    <t>lantai 12</t>
  </si>
  <si>
    <t>lantai 13</t>
  </si>
  <si>
    <t>lantai 14</t>
  </si>
  <si>
    <t>lantai 15</t>
  </si>
  <si>
    <t>lantai 16</t>
  </si>
  <si>
    <t>URAIAN PEKERJAAN</t>
  </si>
  <si>
    <t>VOLUME</t>
  </si>
  <si>
    <t>PEKERJAN KOLOM</t>
  </si>
  <si>
    <t xml:space="preserve">KOLOM TYPE K1 </t>
  </si>
  <si>
    <t>Pengecoran (m3)</t>
  </si>
  <si>
    <t>Pembesian (kg)</t>
  </si>
  <si>
    <t>Besi D25</t>
  </si>
  <si>
    <t>KG</t>
  </si>
  <si>
    <t>Besi D10</t>
  </si>
  <si>
    <t>Bekisting (m2)</t>
  </si>
  <si>
    <t>KOLOM TYPE K2</t>
  </si>
  <si>
    <t>KOLOM TYPE K 3</t>
  </si>
  <si>
    <t>Besi D16</t>
  </si>
  <si>
    <t>KOLOM TYPE K4</t>
  </si>
  <si>
    <t>KOLOM TYPE K5</t>
  </si>
  <si>
    <t>KOLOM TYPE K6</t>
  </si>
  <si>
    <t>KOLOM TYPE K7</t>
  </si>
  <si>
    <t>KOLOM TYPE K8</t>
  </si>
  <si>
    <t>KOLOM TYPE K9</t>
  </si>
  <si>
    <t>KOLOM TYPE K10</t>
  </si>
  <si>
    <t>KOLOM TYPE K3</t>
  </si>
  <si>
    <t>Lantai7-9</t>
  </si>
  <si>
    <t>Besi D19</t>
  </si>
  <si>
    <t>Lantai10-12</t>
  </si>
  <si>
    <t>Lantai 16-17</t>
  </si>
</sst>
</file>

<file path=xl/styles.xml><?xml version="1.0" encoding="utf-8"?>
<styleSheet xmlns="http://schemas.openxmlformats.org/spreadsheetml/2006/main">
  <numFmts count="17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0.000"/>
    <numFmt numFmtId="165" formatCode="[$Rp-421]#,##0.00"/>
    <numFmt numFmtId="166" formatCode="_(* #,##0.00_);_(* \(#,##0.00\);_(* &quot;-&quot;_);_(@_)"/>
    <numFmt numFmtId="167" formatCode="_([$Rp-421]* #,##0.00_);_([$Rp-421]* \(#,##0.00\);_([$Rp-421]* &quot;-&quot;??_);_(@_)"/>
    <numFmt numFmtId="168" formatCode="_(&quot;Rp&quot;* #,##0.00_);_(&quot;Rp&quot;* \(#,##0.00\);_(&quot;Rp&quot;* &quot;-&quot;_);_(@_)"/>
    <numFmt numFmtId="169" formatCode="_(* #,##0_);_(* \(#,##0\);_(* &quot;-&quot;??_);_(@_)"/>
    <numFmt numFmtId="170" formatCode="_(* #,##0.0000_);_(* \(#,##0.0000\);_(* &quot;-&quot;??_);_(@_)"/>
    <numFmt numFmtId="171" formatCode="_([$Rp-421]* #,##0.00_);_([$Rp-421]* \(#,##0.00\);_([$Rp-421]* &quot;-&quot;_);_(@_)"/>
    <numFmt numFmtId="172" formatCode="_-* #,##0_-;\-* #,##0_-;_-* &quot;-&quot;??_-;_-@_-"/>
    <numFmt numFmtId="173" formatCode="#,##0.000"/>
    <numFmt numFmtId="174" formatCode="_([$Rp-421]* #,##0.00_);_([$Rp-421]* \(#,##0.00\);_([$Rp-421]* &quot;-&quot;???_);_(@_)"/>
    <numFmt numFmtId="175" formatCode="_(* #,##0.0_);_(* \(#,##0.0\);_(* &quot;-&quot;_);_(@_)"/>
    <numFmt numFmtId="176" formatCode="_(* #,##0.000_);_(* \(#,##0.000\);_(* &quot;-&quot;_);_(@_)"/>
  </numFmts>
  <fonts count="5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sz val="10"/>
      <name val="Nebraska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Frutiger-Light"/>
    </font>
    <font>
      <u/>
      <sz val="11"/>
      <color theme="10"/>
      <name val="Calibri"/>
      <family val="2"/>
      <charset val="204"/>
    </font>
    <font>
      <b/>
      <u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theme="8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Times New Roman"/>
      <family val="1"/>
    </font>
    <font>
      <sz val="10"/>
      <color theme="1"/>
      <name val="Calibri"/>
      <family val="2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indexed="6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uble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indexed="64"/>
      </right>
      <top style="dotted">
        <color auto="1"/>
      </top>
      <bottom/>
      <diagonal/>
    </border>
    <border>
      <left style="double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indexed="64"/>
      </right>
      <top/>
      <bottom style="dotted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auto="1"/>
      </bottom>
      <diagonal/>
    </border>
    <border>
      <left style="double">
        <color indexed="64"/>
      </left>
      <right style="double">
        <color indexed="64"/>
      </right>
      <top style="dotted">
        <color auto="1"/>
      </top>
      <bottom style="dotted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 style="hair">
        <color theme="0" tint="-4.9989318521683403E-2"/>
      </top>
      <bottom style="hair">
        <color auto="1"/>
      </bottom>
      <diagonal/>
    </border>
    <border>
      <left/>
      <right style="medium">
        <color auto="1"/>
      </right>
      <top style="hair">
        <color theme="0" tint="-4.9989318521683403E-2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/>
      <top style="hair">
        <color theme="0" tint="-4.9989318521683403E-2"/>
      </top>
      <bottom/>
      <diagonal/>
    </border>
    <border>
      <left/>
      <right/>
      <top style="hair">
        <color theme="0" tint="-4.9989318521683403E-2"/>
      </top>
      <bottom/>
      <diagonal/>
    </border>
    <border>
      <left/>
      <right style="medium">
        <color auto="1"/>
      </right>
      <top style="hair">
        <color theme="0" tint="-4.9989318521683403E-2"/>
      </top>
      <bottom/>
      <diagonal/>
    </border>
    <border>
      <left style="medium">
        <color auto="1"/>
      </left>
      <right/>
      <top style="medium">
        <color auto="1"/>
      </top>
      <bottom style="hair">
        <color theme="0" tint="-4.9989318521683403E-2"/>
      </bottom>
      <diagonal/>
    </border>
    <border>
      <left/>
      <right/>
      <top style="medium">
        <color auto="1"/>
      </top>
      <bottom style="hair">
        <color theme="0" tint="-4.9989318521683403E-2"/>
      </bottom>
      <diagonal/>
    </border>
    <border>
      <left/>
      <right style="medium">
        <color auto="1"/>
      </right>
      <top style="medium">
        <color auto="1"/>
      </top>
      <bottom style="hair">
        <color theme="0" tint="-4.9989318521683403E-2"/>
      </bottom>
      <diagonal/>
    </border>
    <border>
      <left style="medium">
        <color auto="1"/>
      </left>
      <right/>
      <top/>
      <bottom style="hair">
        <color theme="0" tint="-4.9989318521683403E-2"/>
      </bottom>
      <diagonal/>
    </border>
    <border>
      <left/>
      <right/>
      <top/>
      <bottom style="hair">
        <color theme="0" tint="-4.9989318521683403E-2"/>
      </bottom>
      <diagonal/>
    </border>
    <border>
      <left/>
      <right style="medium">
        <color auto="1"/>
      </right>
      <top/>
      <bottom style="hair">
        <color theme="0" tint="-4.9989318521683403E-2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tted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4" fillId="0" borderId="0"/>
    <xf numFmtId="0" fontId="16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43" fontId="18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9" fillId="0" borderId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1263">
    <xf numFmtId="0" fontId="0" fillId="0" borderId="0" xfId="0"/>
    <xf numFmtId="0" fontId="5" fillId="0" borderId="0" xfId="1" applyFont="1"/>
    <xf numFmtId="2" fontId="6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7" fillId="0" borderId="0" xfId="1" applyFont="1"/>
    <xf numFmtId="164" fontId="7" fillId="0" borderId="0" xfId="1" applyNumberFormat="1" applyFont="1"/>
    <xf numFmtId="0" fontId="7" fillId="0" borderId="0" xfId="1" applyFont="1" applyFill="1"/>
    <xf numFmtId="1" fontId="7" fillId="0" borderId="0" xfId="1" applyNumberFormat="1" applyFont="1" applyFill="1"/>
    <xf numFmtId="166" fontId="7" fillId="0" borderId="0" xfId="7" applyNumberFormat="1" applyFont="1" applyFill="1"/>
    <xf numFmtId="1" fontId="7" fillId="0" borderId="0" xfId="7" applyNumberFormat="1" applyFont="1" applyFill="1"/>
    <xf numFmtId="0" fontId="7" fillId="0" borderId="0" xfId="0" applyFont="1"/>
    <xf numFmtId="0" fontId="5" fillId="0" borderId="0" xfId="1" applyFont="1" applyAlignment="1">
      <alignment horizontal="left"/>
    </xf>
    <xf numFmtId="0" fontId="8" fillId="0" borderId="0" xfId="1" applyFont="1"/>
    <xf numFmtId="0" fontId="10" fillId="0" borderId="0" xfId="8" applyFont="1" applyFill="1" applyBorder="1" applyAlignment="1"/>
    <xf numFmtId="0" fontId="10" fillId="0" borderId="0" xfId="8" applyFont="1" applyFill="1" applyBorder="1"/>
    <xf numFmtId="0" fontId="11" fillId="0" borderId="0" xfId="0" applyFont="1"/>
    <xf numFmtId="167" fontId="11" fillId="0" borderId="0" xfId="0" applyNumberFormat="1" applyFont="1"/>
    <xf numFmtId="0" fontId="11" fillId="0" borderId="0" xfId="1" applyFont="1"/>
    <xf numFmtId="2" fontId="11" fillId="0" borderId="0" xfId="1" applyNumberFormat="1" applyFont="1" applyFill="1" applyAlignment="1">
      <alignment vertical="center"/>
    </xf>
    <xf numFmtId="0" fontId="10" fillId="0" borderId="0" xfId="9" applyFont="1" applyAlignment="1"/>
    <xf numFmtId="0" fontId="11" fillId="0" borderId="0" xfId="0" applyFont="1" applyAlignment="1">
      <alignment horizontal="center"/>
    </xf>
    <xf numFmtId="42" fontId="11" fillId="0" borderId="0" xfId="0" applyNumberFormat="1" applyFont="1"/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4" fontId="11" fillId="0" borderId="3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41" xfId="0" applyFont="1" applyBorder="1" applyAlignment="1">
      <alignment vertical="center"/>
    </xf>
    <xf numFmtId="164" fontId="11" fillId="0" borderId="3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11" fillId="0" borderId="33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2" fontId="11" fillId="0" borderId="51" xfId="0" applyNumberFormat="1" applyFont="1" applyBorder="1" applyAlignment="1">
      <alignment horizontal="center" vertical="center"/>
    </xf>
    <xf numFmtId="167" fontId="11" fillId="0" borderId="52" xfId="0" applyNumberFormat="1" applyFont="1" applyBorder="1" applyAlignment="1">
      <alignment vertical="center"/>
    </xf>
    <xf numFmtId="164" fontId="11" fillId="0" borderId="53" xfId="0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2" fontId="11" fillId="0" borderId="57" xfId="0" applyNumberFormat="1" applyFont="1" applyBorder="1" applyAlignment="1">
      <alignment horizontal="center" vertical="center"/>
    </xf>
    <xf numFmtId="167" fontId="11" fillId="0" borderId="58" xfId="0" applyNumberFormat="1" applyFont="1" applyBorder="1" applyAlignment="1">
      <alignment horizontal="left" vertical="center"/>
    </xf>
    <xf numFmtId="164" fontId="11" fillId="0" borderId="57" xfId="0" applyNumberFormat="1" applyFont="1" applyBorder="1" applyAlignment="1">
      <alignment horizontal="center" vertical="center"/>
    </xf>
    <xf numFmtId="164" fontId="11" fillId="0" borderId="58" xfId="0" applyNumberFormat="1" applyFont="1" applyBorder="1" applyAlignment="1">
      <alignment horizontal="center" vertical="center"/>
    </xf>
    <xf numFmtId="167" fontId="11" fillId="0" borderId="58" xfId="0" applyNumberFormat="1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11" fillId="0" borderId="28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/>
    <xf numFmtId="0" fontId="11" fillId="0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69" xfId="0" applyFont="1" applyBorder="1"/>
    <xf numFmtId="0" fontId="11" fillId="0" borderId="37" xfId="0" applyFont="1" applyBorder="1"/>
    <xf numFmtId="0" fontId="11" fillId="0" borderId="70" xfId="0" applyFont="1" applyBorder="1"/>
    <xf numFmtId="0" fontId="11" fillId="0" borderId="38" xfId="0" applyFont="1" applyBorder="1" applyAlignment="1">
      <alignment horizontal="center" vertical="center"/>
    </xf>
    <xf numFmtId="0" fontId="11" fillId="0" borderId="48" xfId="0" applyFont="1" applyBorder="1"/>
    <xf numFmtId="0" fontId="11" fillId="0" borderId="48" xfId="0" applyFont="1" applyBorder="1" applyAlignment="1">
      <alignment horizontal="center"/>
    </xf>
    <xf numFmtId="167" fontId="11" fillId="0" borderId="48" xfId="0" applyNumberFormat="1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164" fontId="11" fillId="0" borderId="0" xfId="0" applyNumberFormat="1" applyFont="1" applyFill="1"/>
    <xf numFmtId="164" fontId="11" fillId="0" borderId="69" xfId="0" applyNumberFormat="1" applyFont="1" applyBorder="1"/>
    <xf numFmtId="164" fontId="11" fillId="0" borderId="37" xfId="0" applyNumberFormat="1" applyFont="1" applyBorder="1"/>
    <xf numFmtId="164" fontId="11" fillId="0" borderId="70" xfId="0" applyNumberFormat="1" applyFont="1" applyBorder="1"/>
    <xf numFmtId="164" fontId="11" fillId="0" borderId="38" xfId="0" applyNumberFormat="1" applyFont="1" applyBorder="1" applyAlignment="1">
      <alignment horizontal="center" vertical="center"/>
    </xf>
    <xf numFmtId="164" fontId="11" fillId="0" borderId="48" xfId="0" applyNumberFormat="1" applyFont="1" applyBorder="1"/>
    <xf numFmtId="164" fontId="11" fillId="0" borderId="39" xfId="0" applyNumberFormat="1" applyFont="1" applyBorder="1" applyAlignment="1">
      <alignment horizontal="center"/>
    </xf>
    <xf numFmtId="164" fontId="11" fillId="0" borderId="0" xfId="0" applyNumberFormat="1" applyFont="1"/>
    <xf numFmtId="0" fontId="11" fillId="0" borderId="71" xfId="0" applyFont="1" applyBorder="1"/>
    <xf numFmtId="0" fontId="11" fillId="0" borderId="42" xfId="0" applyFont="1" applyBorder="1"/>
    <xf numFmtId="0" fontId="11" fillId="0" borderId="41" xfId="0" applyFont="1" applyBorder="1"/>
    <xf numFmtId="0" fontId="11" fillId="0" borderId="43" xfId="0" applyFont="1" applyBorder="1" applyAlignment="1">
      <alignment horizontal="center" vertical="center"/>
    </xf>
    <xf numFmtId="167" fontId="11" fillId="0" borderId="39" xfId="0" applyNumberFormat="1" applyFont="1" applyBorder="1"/>
    <xf numFmtId="167" fontId="11" fillId="0" borderId="39" xfId="0" applyNumberFormat="1" applyFont="1" applyBorder="1" applyAlignment="1">
      <alignment horizontal="center"/>
    </xf>
    <xf numFmtId="167" fontId="11" fillId="0" borderId="0" xfId="0" applyNumberFormat="1" applyFont="1" applyFill="1"/>
    <xf numFmtId="0" fontId="11" fillId="0" borderId="72" xfId="0" applyFont="1" applyBorder="1"/>
    <xf numFmtId="0" fontId="11" fillId="0" borderId="73" xfId="0" applyFont="1" applyBorder="1"/>
    <xf numFmtId="0" fontId="11" fillId="0" borderId="74" xfId="0" applyFont="1" applyBorder="1"/>
    <xf numFmtId="0" fontId="11" fillId="0" borderId="75" xfId="0" applyFont="1" applyBorder="1" applyAlignment="1">
      <alignment horizontal="center" vertical="center"/>
    </xf>
    <xf numFmtId="167" fontId="11" fillId="0" borderId="45" xfId="0" applyNumberFormat="1" applyFont="1" applyBorder="1"/>
    <xf numFmtId="167" fontId="11" fillId="0" borderId="45" xfId="0" applyNumberFormat="1" applyFont="1" applyBorder="1" applyAlignment="1">
      <alignment horizontal="center"/>
    </xf>
    <xf numFmtId="167" fontId="11" fillId="2" borderId="57" xfId="0" applyNumberFormat="1" applyFont="1" applyFill="1" applyBorder="1"/>
    <xf numFmtId="167" fontId="11" fillId="2" borderId="57" xfId="0" applyNumberFormat="1" applyFont="1" applyFill="1" applyBorder="1" applyAlignment="1">
      <alignment horizontal="center"/>
    </xf>
    <xf numFmtId="0" fontId="11" fillId="4" borderId="0" xfId="0" applyFont="1" applyFill="1"/>
    <xf numFmtId="167" fontId="11" fillId="0" borderId="48" xfId="0" applyNumberFormat="1" applyFont="1" applyBorder="1" applyAlignment="1">
      <alignment horizontal="center"/>
    </xf>
    <xf numFmtId="0" fontId="10" fillId="0" borderId="0" xfId="0" applyFont="1" applyFill="1"/>
    <xf numFmtId="0" fontId="10" fillId="3" borderId="0" xfId="0" applyFont="1" applyFill="1"/>
    <xf numFmtId="0" fontId="11" fillId="0" borderId="76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 applyAlignment="1">
      <alignment horizontal="center" vertical="center"/>
    </xf>
    <xf numFmtId="167" fontId="11" fillId="0" borderId="57" xfId="0" applyNumberFormat="1" applyFont="1" applyBorder="1"/>
    <xf numFmtId="167" fontId="11" fillId="0" borderId="57" xfId="0" applyNumberFormat="1" applyFont="1" applyBorder="1" applyAlignment="1">
      <alignment horizontal="center"/>
    </xf>
    <xf numFmtId="0" fontId="11" fillId="5" borderId="0" xfId="0" applyFont="1" applyFill="1"/>
    <xf numFmtId="167" fontId="11" fillId="6" borderId="28" xfId="0" applyNumberFormat="1" applyFont="1" applyFill="1" applyBorder="1"/>
    <xf numFmtId="167" fontId="11" fillId="6" borderId="28" xfId="0" applyNumberFormat="1" applyFont="1" applyFill="1" applyBorder="1" applyAlignment="1">
      <alignment horizontal="center"/>
    </xf>
    <xf numFmtId="0" fontId="11" fillId="7" borderId="0" xfId="0" applyFont="1" applyFill="1"/>
    <xf numFmtId="167" fontId="11" fillId="0" borderId="0" xfId="0" applyNumberFormat="1" applyFont="1" applyAlignment="1">
      <alignment horizontal="center"/>
    </xf>
    <xf numFmtId="0" fontId="15" fillId="0" borderId="0" xfId="0" applyFont="1" applyFill="1" applyAlignment="1"/>
    <xf numFmtId="43" fontId="15" fillId="0" borderId="0" xfId="2" applyFont="1" applyFill="1" applyAlignment="1"/>
    <xf numFmtId="0" fontId="15" fillId="0" borderId="0" xfId="0" applyFont="1" applyFill="1" applyAlignment="1">
      <alignment horizontal="center"/>
    </xf>
    <xf numFmtId="0" fontId="9" fillId="0" borderId="0" xfId="11"/>
    <xf numFmtId="0" fontId="8" fillId="0" borderId="0" xfId="11" applyFont="1" applyBorder="1"/>
    <xf numFmtId="0" fontId="11" fillId="0" borderId="1" xfId="11" applyFont="1" applyBorder="1"/>
    <xf numFmtId="0" fontId="11" fillId="0" borderId="2" xfId="11" applyFont="1" applyBorder="1" applyAlignment="1">
      <alignment horizontal="center" vertical="center"/>
    </xf>
    <xf numFmtId="0" fontId="11" fillId="0" borderId="0" xfId="11" applyFont="1" applyBorder="1"/>
    <xf numFmtId="0" fontId="11" fillId="0" borderId="0" xfId="11" applyFont="1" applyBorder="1" applyAlignment="1">
      <alignment horizontal="center" vertical="center"/>
    </xf>
    <xf numFmtId="0" fontId="9" fillId="0" borderId="0" xfId="11" applyBorder="1"/>
    <xf numFmtId="0" fontId="11" fillId="0" borderId="0" xfId="11" applyFont="1" applyBorder="1" applyAlignment="1">
      <alignment horizontal="center"/>
    </xf>
    <xf numFmtId="3" fontId="11" fillId="0" borderId="0" xfId="12" applyNumberFormat="1" applyFont="1" applyBorder="1" applyAlignment="1">
      <alignment horizontal="center" vertical="center"/>
    </xf>
    <xf numFmtId="0" fontId="8" fillId="0" borderId="0" xfId="11" applyFont="1" applyBorder="1" applyAlignment="1">
      <alignment horizontal="center"/>
    </xf>
    <xf numFmtId="165" fontId="12" fillId="0" borderId="0" xfId="1" applyNumberFormat="1" applyFont="1" applyFill="1" applyAlignment="1">
      <alignment horizontal="center" vertical="center"/>
    </xf>
    <xf numFmtId="0" fontId="9" fillId="0" borderId="129" xfId="11" applyBorder="1"/>
    <xf numFmtId="0" fontId="8" fillId="0" borderId="34" xfId="11" applyFont="1" applyBorder="1" applyAlignment="1">
      <alignment horizontal="center"/>
    </xf>
    <xf numFmtId="0" fontId="8" fillId="0" borderId="129" xfId="11" applyFont="1" applyBorder="1"/>
    <xf numFmtId="0" fontId="11" fillId="0" borderId="3" xfId="11" applyFont="1" applyBorder="1"/>
    <xf numFmtId="0" fontId="11" fillId="0" borderId="4" xfId="11" applyFont="1" applyBorder="1" applyAlignment="1">
      <alignment horizontal="center" vertical="center"/>
    </xf>
    <xf numFmtId="3" fontId="11" fillId="0" borderId="4" xfId="12" applyNumberFormat="1" applyFont="1" applyBorder="1" applyAlignment="1">
      <alignment horizontal="center" vertical="center"/>
    </xf>
    <xf numFmtId="0" fontId="11" fillId="0" borderId="34" xfId="11" applyFont="1" applyBorder="1" applyAlignment="1">
      <alignment horizontal="center"/>
    </xf>
    <xf numFmtId="0" fontId="11" fillId="0" borderId="100" xfId="11" applyFont="1" applyBorder="1"/>
    <xf numFmtId="0" fontId="11" fillId="0" borderId="129" xfId="11" applyFont="1" applyBorder="1"/>
    <xf numFmtId="0" fontId="8" fillId="0" borderId="100" xfId="11" applyFont="1" applyBorder="1"/>
    <xf numFmtId="2" fontId="11" fillId="0" borderId="4" xfId="12" applyNumberFormat="1" applyFont="1" applyBorder="1" applyAlignment="1">
      <alignment horizontal="center" vertical="center"/>
    </xf>
    <xf numFmtId="0" fontId="11" fillId="0" borderId="129" xfId="11" applyFont="1" applyBorder="1" applyAlignment="1">
      <alignment horizontal="center" vertical="center"/>
    </xf>
    <xf numFmtId="2" fontId="11" fillId="0" borderId="100" xfId="11" applyNumberFormat="1" applyFont="1" applyBorder="1" applyAlignment="1">
      <alignment horizontal="center" vertical="center"/>
    </xf>
    <xf numFmtId="0" fontId="11" fillId="0" borderId="100" xfId="11" applyFont="1" applyBorder="1" applyAlignment="1">
      <alignment horizontal="center" vertical="center"/>
    </xf>
    <xf numFmtId="2" fontId="11" fillId="0" borderId="4" xfId="11" applyNumberFormat="1" applyFont="1" applyBorder="1" applyAlignment="1">
      <alignment horizontal="center" vertical="center"/>
    </xf>
    <xf numFmtId="0" fontId="9" fillId="0" borderId="34" xfId="11" applyBorder="1"/>
    <xf numFmtId="0" fontId="9" fillId="0" borderId="100" xfId="11" applyBorder="1"/>
    <xf numFmtId="0" fontId="11" fillId="0" borderId="4" xfId="11" applyFont="1" applyBorder="1"/>
    <xf numFmtId="3" fontId="11" fillId="0" borderId="100" xfId="12" applyNumberFormat="1" applyFont="1" applyBorder="1" applyAlignment="1">
      <alignment horizontal="center" vertical="center"/>
    </xf>
    <xf numFmtId="0" fontId="11" fillId="0" borderId="133" xfId="11" applyFont="1" applyBorder="1" applyAlignment="1">
      <alignment horizontal="center"/>
    </xf>
    <xf numFmtId="0" fontId="11" fillId="0" borderId="134" xfId="11" applyFont="1" applyBorder="1"/>
    <xf numFmtId="0" fontId="11" fillId="0" borderId="135" xfId="11" applyFont="1" applyBorder="1"/>
    <xf numFmtId="0" fontId="11" fillId="0" borderId="136" xfId="11" applyFont="1" applyBorder="1"/>
    <xf numFmtId="0" fontId="11" fillId="0" borderId="137" xfId="11" applyFont="1" applyBorder="1" applyAlignment="1">
      <alignment horizontal="center" vertical="center"/>
    </xf>
    <xf numFmtId="3" fontId="11" fillId="0" borderId="137" xfId="12" applyNumberFormat="1" applyFont="1" applyBorder="1" applyAlignment="1">
      <alignment horizontal="center" vertical="center"/>
    </xf>
    <xf numFmtId="0" fontId="8" fillId="0" borderId="139" xfId="11" applyFont="1" applyBorder="1" applyAlignment="1">
      <alignment horizontal="center"/>
    </xf>
    <xf numFmtId="0" fontId="8" fillId="0" borderId="99" xfId="11" applyFont="1" applyBorder="1"/>
    <xf numFmtId="0" fontId="8" fillId="0" borderId="140" xfId="11" applyFont="1" applyBorder="1"/>
    <xf numFmtId="0" fontId="11" fillId="0" borderId="141" xfId="11" applyFont="1" applyBorder="1"/>
    <xf numFmtId="0" fontId="11" fillId="0" borderId="142" xfId="11" applyFont="1" applyBorder="1" applyAlignment="1">
      <alignment horizontal="center" vertical="center"/>
    </xf>
    <xf numFmtId="3" fontId="11" fillId="0" borderId="142" xfId="12" applyNumberFormat="1" applyFont="1" applyBorder="1" applyAlignment="1">
      <alignment horizontal="center" vertical="center"/>
    </xf>
    <xf numFmtId="2" fontId="11" fillId="0" borderId="137" xfId="12" applyNumberFormat="1" applyFont="1" applyBorder="1" applyAlignment="1">
      <alignment horizontal="center" vertical="center"/>
    </xf>
    <xf numFmtId="2" fontId="11" fillId="0" borderId="142" xfId="12" applyNumberFormat="1" applyFont="1" applyBorder="1" applyAlignment="1">
      <alignment horizontal="center" vertical="center"/>
    </xf>
    <xf numFmtId="0" fontId="8" fillId="3" borderId="144" xfId="11" applyFont="1" applyFill="1" applyBorder="1" applyAlignment="1">
      <alignment horizontal="center"/>
    </xf>
    <xf numFmtId="0" fontId="8" fillId="3" borderId="145" xfId="11" applyFont="1" applyFill="1" applyBorder="1"/>
    <xf numFmtId="0" fontId="8" fillId="3" borderId="146" xfId="11" applyFont="1" applyFill="1" applyBorder="1"/>
    <xf numFmtId="0" fontId="11" fillId="3" borderId="21" xfId="11" applyFont="1" applyFill="1" applyBorder="1"/>
    <xf numFmtId="0" fontId="11" fillId="3" borderId="96" xfId="11" applyFont="1" applyFill="1" applyBorder="1" applyAlignment="1">
      <alignment horizontal="center" vertical="center"/>
    </xf>
    <xf numFmtId="2" fontId="11" fillId="3" borderId="96" xfId="12" applyNumberFormat="1" applyFont="1" applyFill="1" applyBorder="1" applyAlignment="1">
      <alignment horizontal="center" vertical="center"/>
    </xf>
    <xf numFmtId="0" fontId="9" fillId="0" borderId="135" xfId="11" applyBorder="1"/>
    <xf numFmtId="0" fontId="17" fillId="0" borderId="99" xfId="11" applyFont="1" applyBorder="1"/>
    <xf numFmtId="0" fontId="9" fillId="0" borderId="149" xfId="11" applyBorder="1"/>
    <xf numFmtId="3" fontId="11" fillId="0" borderId="134" xfId="12" applyNumberFormat="1" applyFont="1" applyBorder="1" applyAlignment="1">
      <alignment horizontal="center" vertical="center"/>
    </xf>
    <xf numFmtId="0" fontId="9" fillId="0" borderId="133" xfId="11" applyBorder="1"/>
    <xf numFmtId="0" fontId="9" fillId="0" borderId="134" xfId="11" applyBorder="1"/>
    <xf numFmtId="0" fontId="11" fillId="0" borderId="137" xfId="11" applyFont="1" applyBorder="1"/>
    <xf numFmtId="171" fontId="9" fillId="0" borderId="0" xfId="11" applyNumberFormat="1"/>
    <xf numFmtId="171" fontId="9" fillId="0" borderId="0" xfId="11" applyNumberFormat="1" applyBorder="1"/>
    <xf numFmtId="171" fontId="9" fillId="0" borderId="13" xfId="11" applyNumberFormat="1" applyBorder="1"/>
    <xf numFmtId="171" fontId="11" fillId="0" borderId="142" xfId="12" applyNumberFormat="1" applyFont="1" applyBorder="1" applyAlignment="1">
      <alignment horizontal="center" vertical="center"/>
    </xf>
    <xf numFmtId="171" fontId="11" fillId="0" borderId="140" xfId="11" applyNumberFormat="1" applyFont="1" applyBorder="1" applyAlignment="1">
      <alignment horizontal="center" vertical="center"/>
    </xf>
    <xf numFmtId="171" fontId="11" fillId="0" borderId="143" xfId="12" applyNumberFormat="1" applyFont="1" applyBorder="1" applyAlignment="1">
      <alignment horizontal="center" vertical="center"/>
    </xf>
    <xf numFmtId="171" fontId="11" fillId="0" borderId="137" xfId="12" applyNumberFormat="1" applyFont="1" applyBorder="1" applyAlignment="1">
      <alignment horizontal="center" vertical="center"/>
    </xf>
    <xf numFmtId="171" fontId="11" fillId="0" borderId="135" xfId="11" applyNumberFormat="1" applyFont="1" applyBorder="1" applyAlignment="1">
      <alignment horizontal="center" vertical="center"/>
    </xf>
    <xf numFmtId="171" fontId="11" fillId="0" borderId="138" xfId="12" applyNumberFormat="1" applyFont="1" applyBorder="1" applyAlignment="1">
      <alignment horizontal="center" vertical="center"/>
    </xf>
    <xf numFmtId="171" fontId="11" fillId="0" borderId="4" xfId="12" applyNumberFormat="1" applyFont="1" applyBorder="1" applyAlignment="1">
      <alignment horizontal="center" vertical="center"/>
    </xf>
    <xf numFmtId="171" fontId="11" fillId="0" borderId="129" xfId="11" applyNumberFormat="1" applyFont="1" applyBorder="1" applyAlignment="1">
      <alignment horizontal="center" vertical="center"/>
    </xf>
    <xf numFmtId="171" fontId="11" fillId="0" borderId="35" xfId="12" applyNumberFormat="1" applyFont="1" applyBorder="1" applyAlignment="1">
      <alignment horizontal="center" vertical="center"/>
    </xf>
    <xf numFmtId="171" fontId="9" fillId="0" borderId="135" xfId="11" applyNumberFormat="1" applyBorder="1"/>
    <xf numFmtId="171" fontId="9" fillId="0" borderId="140" xfId="11" applyNumberFormat="1" applyBorder="1"/>
    <xf numFmtId="171" fontId="11" fillId="0" borderId="140" xfId="11" applyNumberFormat="1" applyFont="1" applyBorder="1"/>
    <xf numFmtId="171" fontId="11" fillId="0" borderId="4" xfId="11" applyNumberFormat="1" applyFont="1" applyBorder="1" applyAlignment="1">
      <alignment horizontal="center" vertical="center"/>
    </xf>
    <xf numFmtId="171" fontId="11" fillId="0" borderId="35" xfId="11" applyNumberFormat="1" applyFont="1" applyBorder="1" applyAlignment="1">
      <alignment horizontal="center" vertical="center"/>
    </xf>
    <xf numFmtId="171" fontId="11" fillId="0" borderId="0" xfId="12" applyNumberFormat="1" applyFont="1" applyBorder="1" applyAlignment="1">
      <alignment horizontal="center" vertical="center"/>
    </xf>
    <xf numFmtId="171" fontId="11" fillId="0" borderId="0" xfId="11" applyNumberFormat="1" applyFont="1" applyBorder="1" applyAlignment="1">
      <alignment horizontal="center" vertical="center"/>
    </xf>
    <xf numFmtId="171" fontId="0" fillId="0" borderId="0" xfId="0" applyNumberFormat="1"/>
    <xf numFmtId="167" fontId="11" fillId="0" borderId="152" xfId="0" applyNumberFormat="1" applyFont="1" applyBorder="1"/>
    <xf numFmtId="0" fontId="11" fillId="0" borderId="149" xfId="0" applyFont="1" applyBorder="1" applyAlignment="1">
      <alignment horizontal="center"/>
    </xf>
    <xf numFmtId="167" fontId="11" fillId="0" borderId="150" xfId="0" applyNumberFormat="1" applyFont="1" applyBorder="1"/>
    <xf numFmtId="167" fontId="11" fillId="0" borderId="155" xfId="0" applyNumberFormat="1" applyFont="1" applyBorder="1"/>
    <xf numFmtId="0" fontId="11" fillId="0" borderId="1" xfId="0" applyFont="1" applyBorder="1" applyAlignment="1">
      <alignment horizontal="center"/>
    </xf>
    <xf numFmtId="171" fontId="11" fillId="3" borderId="96" xfId="12" applyNumberFormat="1" applyFont="1" applyFill="1" applyBorder="1" applyAlignment="1">
      <alignment horizontal="center" vertical="center"/>
    </xf>
    <xf numFmtId="171" fontId="11" fillId="3" borderId="146" xfId="11" applyNumberFormat="1" applyFont="1" applyFill="1" applyBorder="1"/>
    <xf numFmtId="171" fontId="11" fillId="3" borderId="97" xfId="12" applyNumberFormat="1" applyFont="1" applyFill="1" applyBorder="1" applyAlignment="1">
      <alignment horizontal="center" vertical="center"/>
    </xf>
    <xf numFmtId="164" fontId="11" fillId="11" borderId="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0" fontId="11" fillId="0" borderId="100" xfId="0" applyFont="1" applyBorder="1" applyAlignment="1">
      <alignment vertical="center"/>
    </xf>
    <xf numFmtId="164" fontId="11" fillId="0" borderId="100" xfId="0" applyNumberFormat="1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67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55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vertical="center"/>
    </xf>
    <xf numFmtId="164" fontId="11" fillId="0" borderId="59" xfId="0" applyNumberFormat="1" applyFont="1" applyBorder="1" applyAlignment="1">
      <alignment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56" xfId="0" applyNumberFormat="1" applyFont="1" applyBorder="1" applyAlignment="1">
      <alignment horizontal="center" vertical="center"/>
    </xf>
    <xf numFmtId="164" fontId="11" fillId="0" borderId="76" xfId="0" applyNumberFormat="1" applyFont="1" applyBorder="1" applyAlignment="1">
      <alignment vertical="center"/>
    </xf>
    <xf numFmtId="164" fontId="11" fillId="0" borderId="27" xfId="0" applyNumberFormat="1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7" fillId="0" borderId="3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5" xfId="0" applyFont="1" applyBorder="1"/>
    <xf numFmtId="0" fontId="7" fillId="0" borderId="130" xfId="0" applyFont="1" applyBorder="1"/>
    <xf numFmtId="0" fontId="7" fillId="0" borderId="19" xfId="0" applyFont="1" applyBorder="1"/>
    <xf numFmtId="0" fontId="7" fillId="0" borderId="132" xfId="0" applyFont="1" applyBorder="1"/>
    <xf numFmtId="0" fontId="7" fillId="0" borderId="0" xfId="0" applyNumberFormat="1" applyFont="1" applyAlignment="1">
      <alignment horizontal="center"/>
    </xf>
    <xf numFmtId="42" fontId="7" fillId="0" borderId="0" xfId="0" applyNumberFormat="1" applyFont="1"/>
    <xf numFmtId="0" fontId="20" fillId="0" borderId="159" xfId="0" applyNumberFormat="1" applyFont="1" applyBorder="1" applyAlignment="1">
      <alignment horizontal="center"/>
    </xf>
    <xf numFmtId="42" fontId="20" fillId="0" borderId="160" xfId="0" applyNumberFormat="1" applyFont="1" applyBorder="1"/>
    <xf numFmtId="42" fontId="7" fillId="0" borderId="160" xfId="0" applyNumberFormat="1" applyFont="1" applyBorder="1"/>
    <xf numFmtId="42" fontId="7" fillId="0" borderId="161" xfId="0" applyNumberFormat="1" applyFont="1" applyBorder="1"/>
    <xf numFmtId="0" fontId="20" fillId="0" borderId="34" xfId="0" applyNumberFormat="1" applyFont="1" applyBorder="1" applyAlignment="1">
      <alignment horizontal="center"/>
    </xf>
    <xf numFmtId="42" fontId="7" fillId="0" borderId="4" xfId="0" applyNumberFormat="1" applyFont="1" applyBorder="1"/>
    <xf numFmtId="42" fontId="20" fillId="0" borderId="4" xfId="0" applyNumberFormat="1" applyFont="1" applyBorder="1"/>
    <xf numFmtId="42" fontId="20" fillId="0" borderId="35" xfId="0" applyNumberFormat="1" applyFont="1" applyBorder="1"/>
    <xf numFmtId="42" fontId="7" fillId="0" borderId="35" xfId="0" applyNumberFormat="1" applyFont="1" applyBorder="1"/>
    <xf numFmtId="0" fontId="7" fillId="0" borderId="130" xfId="0" applyNumberFormat="1" applyFont="1" applyBorder="1" applyAlignment="1">
      <alignment horizontal="center"/>
    </xf>
    <xf numFmtId="42" fontId="20" fillId="0" borderId="19" xfId="0" applyNumberFormat="1" applyFont="1" applyBorder="1"/>
    <xf numFmtId="42" fontId="20" fillId="0" borderId="132" xfId="0" applyNumberFormat="1" applyFont="1" applyBorder="1"/>
    <xf numFmtId="0" fontId="7" fillId="0" borderId="159" xfId="0" applyNumberFormat="1" applyFont="1" applyBorder="1" applyAlignment="1">
      <alignment horizontal="center"/>
    </xf>
    <xf numFmtId="42" fontId="20" fillId="0" borderId="161" xfId="0" applyNumberFormat="1" applyFont="1" applyBorder="1"/>
    <xf numFmtId="0" fontId="7" fillId="0" borderId="34" xfId="0" applyNumberFormat="1" applyFont="1" applyBorder="1" applyAlignment="1">
      <alignment horizontal="center"/>
    </xf>
    <xf numFmtId="0" fontId="7" fillId="0" borderId="133" xfId="0" applyNumberFormat="1" applyFont="1" applyBorder="1" applyAlignment="1">
      <alignment horizontal="center"/>
    </xf>
    <xf numFmtId="42" fontId="7" fillId="0" borderId="137" xfId="0" applyNumberFormat="1" applyFont="1" applyBorder="1"/>
    <xf numFmtId="42" fontId="20" fillId="0" borderId="137" xfId="0" applyNumberFormat="1" applyFont="1" applyBorder="1"/>
    <xf numFmtId="42" fontId="20" fillId="0" borderId="138" xfId="0" applyNumberFormat="1" applyFont="1" applyBorder="1"/>
    <xf numFmtId="42" fontId="20" fillId="10" borderId="97" xfId="0" applyNumberFormat="1" applyFont="1" applyFill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/>
    <xf numFmtId="167" fontId="11" fillId="0" borderId="16" xfId="0" applyNumberFormat="1" applyFont="1" applyBorder="1"/>
    <xf numFmtId="0" fontId="11" fillId="0" borderId="140" xfId="0" applyFont="1" applyBorder="1"/>
    <xf numFmtId="0" fontId="11" fillId="0" borderId="162" xfId="0" applyFont="1" applyBorder="1" applyAlignment="1">
      <alignment horizontal="center"/>
    </xf>
    <xf numFmtId="0" fontId="11" fillId="0" borderId="4" xfId="0" applyFont="1" applyBorder="1"/>
    <xf numFmtId="167" fontId="11" fillId="0" borderId="17" xfId="0" applyNumberFormat="1" applyFont="1" applyBorder="1"/>
    <xf numFmtId="0" fontId="11" fillId="0" borderId="129" xfId="0" applyFont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/>
    <xf numFmtId="167" fontId="11" fillId="0" borderId="20" xfId="0" applyNumberFormat="1" applyFont="1" applyBorder="1"/>
    <xf numFmtId="0" fontId="11" fillId="0" borderId="135" xfId="0" applyFont="1" applyBorder="1"/>
    <xf numFmtId="167" fontId="11" fillId="0" borderId="0" xfId="0" applyNumberFormat="1" applyFont="1" applyBorder="1" applyAlignment="1">
      <alignment horizontal="center"/>
    </xf>
    <xf numFmtId="167" fontId="11" fillId="0" borderId="98" xfId="0" applyNumberFormat="1" applyFont="1" applyBorder="1" applyAlignment="1">
      <alignment horizontal="center"/>
    </xf>
    <xf numFmtId="167" fontId="11" fillId="5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0" fontId="8" fillId="6" borderId="163" xfId="0" applyFont="1" applyFill="1" applyBorder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/>
    </xf>
    <xf numFmtId="0" fontId="23" fillId="9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/>
    <xf numFmtId="0" fontId="0" fillId="13" borderId="57" xfId="0" applyFill="1" applyBorder="1" applyAlignment="1">
      <alignment horizontal="center"/>
    </xf>
    <xf numFmtId="0" fontId="0" fillId="0" borderId="57" xfId="0" applyBorder="1" applyAlignment="1">
      <alignment horizontal="center"/>
    </xf>
    <xf numFmtId="1" fontId="0" fillId="0" borderId="57" xfId="0" applyNumberFormat="1" applyBorder="1"/>
    <xf numFmtId="3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vertical="top"/>
    </xf>
    <xf numFmtId="172" fontId="0" fillId="0" borderId="57" xfId="12" applyNumberFormat="1" applyFont="1" applyBorder="1" applyAlignment="1">
      <alignment horizontal="center" vertical="center"/>
    </xf>
    <xf numFmtId="173" fontId="0" fillId="0" borderId="57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43" fontId="26" fillId="0" borderId="0" xfId="2" applyFont="1" applyFill="1" applyAlignment="1"/>
    <xf numFmtId="0" fontId="26" fillId="0" borderId="78" xfId="0" applyFont="1" applyFill="1" applyBorder="1" applyAlignment="1">
      <alignment horizontal="center" vertical="top"/>
    </xf>
    <xf numFmtId="0" fontId="26" fillId="0" borderId="79" xfId="0" applyFont="1" applyFill="1" applyBorder="1" applyAlignment="1">
      <alignment vertical="top"/>
    </xf>
    <xf numFmtId="0" fontId="26" fillId="0" borderId="79" xfId="0" applyFont="1" applyFill="1" applyBorder="1" applyAlignment="1">
      <alignment horizontal="center" vertical="top"/>
    </xf>
    <xf numFmtId="43" fontId="27" fillId="0" borderId="80" xfId="2" applyFont="1" applyFill="1" applyBorder="1" applyAlignment="1">
      <alignment horizontal="center" vertical="top"/>
    </xf>
    <xf numFmtId="0" fontId="27" fillId="0" borderId="78" xfId="0" applyFont="1" applyFill="1" applyBorder="1" applyAlignment="1">
      <alignment horizontal="center" vertical="top"/>
    </xf>
    <xf numFmtId="0" fontId="28" fillId="0" borderId="79" xfId="0" applyFont="1" applyFill="1" applyBorder="1" applyAlignment="1">
      <alignment vertical="top"/>
    </xf>
    <xf numFmtId="43" fontId="26" fillId="0" borderId="80" xfId="2" applyFont="1" applyFill="1" applyBorder="1" applyAlignment="1">
      <alignment vertical="top"/>
    </xf>
    <xf numFmtId="43" fontId="29" fillId="0" borderId="80" xfId="10" applyNumberFormat="1" applyFont="1" applyFill="1" applyBorder="1" applyAlignment="1">
      <alignment vertical="top"/>
    </xf>
    <xf numFmtId="43" fontId="29" fillId="0" borderId="80" xfId="2" applyFont="1" applyFill="1" applyBorder="1" applyAlignment="1">
      <alignment vertical="top"/>
    </xf>
    <xf numFmtId="0" fontId="26" fillId="8" borderId="78" xfId="0" applyFont="1" applyFill="1" applyBorder="1" applyAlignment="1">
      <alignment horizontal="center" vertical="top"/>
    </xf>
    <xf numFmtId="0" fontId="26" fillId="8" borderId="79" xfId="0" applyFont="1" applyFill="1" applyBorder="1" applyAlignment="1">
      <alignment vertical="top"/>
    </xf>
    <xf numFmtId="0" fontId="26" fillId="8" borderId="79" xfId="0" applyFont="1" applyFill="1" applyBorder="1" applyAlignment="1">
      <alignment horizontal="center" vertical="top"/>
    </xf>
    <xf numFmtId="43" fontId="26" fillId="8" borderId="80" xfId="2" applyFont="1" applyFill="1" applyBorder="1" applyAlignment="1">
      <alignment vertical="top"/>
    </xf>
    <xf numFmtId="0" fontId="26" fillId="0" borderId="89" xfId="0" applyFont="1" applyFill="1" applyBorder="1" applyAlignment="1">
      <alignment horizontal="center" vertical="top"/>
    </xf>
    <xf numFmtId="0" fontId="26" fillId="0" borderId="90" xfId="0" applyFont="1" applyFill="1" applyBorder="1" applyAlignment="1">
      <alignment vertical="top"/>
    </xf>
    <xf numFmtId="0" fontId="26" fillId="0" borderId="90" xfId="0" applyFont="1" applyFill="1" applyBorder="1" applyAlignment="1">
      <alignment horizontal="center" vertical="top"/>
    </xf>
    <xf numFmtId="43" fontId="26" fillId="0" borderId="91" xfId="2" applyFont="1" applyFill="1" applyBorder="1" applyAlignment="1">
      <alignment vertical="top"/>
    </xf>
    <xf numFmtId="0" fontId="31" fillId="0" borderId="0" xfId="0" applyFont="1" applyFill="1"/>
    <xf numFmtId="169" fontId="31" fillId="0" borderId="0" xfId="2" applyNumberFormat="1" applyFont="1" applyFill="1"/>
    <xf numFmtId="0" fontId="30" fillId="2" borderId="101" xfId="0" applyFont="1" applyFill="1" applyBorder="1" applyAlignment="1">
      <alignment horizontal="center" vertical="center"/>
    </xf>
    <xf numFmtId="0" fontId="30" fillId="2" borderId="102" xfId="0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169" fontId="30" fillId="2" borderId="102" xfId="2" applyNumberFormat="1" applyFont="1" applyFill="1" applyBorder="1" applyAlignment="1">
      <alignment horizontal="center" vertical="center"/>
    </xf>
    <xf numFmtId="169" fontId="30" fillId="2" borderId="103" xfId="2" applyNumberFormat="1" applyFont="1" applyFill="1" applyBorder="1" applyAlignment="1">
      <alignment horizontal="center" vertical="center"/>
    </xf>
    <xf numFmtId="0" fontId="31" fillId="0" borderId="104" xfId="0" applyFont="1" applyFill="1" applyBorder="1" applyAlignment="1">
      <alignment vertical="top"/>
    </xf>
    <xf numFmtId="170" fontId="31" fillId="0" borderId="105" xfId="2" applyNumberFormat="1" applyFont="1" applyFill="1" applyBorder="1" applyAlignment="1">
      <alignment vertical="top"/>
    </xf>
    <xf numFmtId="0" fontId="31" fillId="0" borderId="105" xfId="0" applyFont="1" applyFill="1" applyBorder="1" applyAlignment="1">
      <alignment vertical="top"/>
    </xf>
    <xf numFmtId="43" fontId="31" fillId="0" borderId="105" xfId="2" applyFont="1" applyFill="1" applyBorder="1" applyAlignment="1">
      <alignment vertical="top"/>
    </xf>
    <xf numFmtId="43" fontId="31" fillId="0" borderId="106" xfId="2" applyFont="1" applyFill="1" applyBorder="1" applyAlignment="1">
      <alignment vertical="top"/>
    </xf>
    <xf numFmtId="0" fontId="30" fillId="0" borderId="107" xfId="0" applyFont="1" applyFill="1" applyBorder="1" applyAlignment="1">
      <alignment vertical="top"/>
    </xf>
    <xf numFmtId="170" fontId="30" fillId="0" borderId="108" xfId="2" applyNumberFormat="1" applyFont="1" applyFill="1" applyBorder="1" applyAlignment="1">
      <alignment vertical="top"/>
    </xf>
    <xf numFmtId="0" fontId="30" fillId="0" borderId="108" xfId="0" applyFont="1" applyFill="1" applyBorder="1" applyAlignment="1">
      <alignment vertical="top"/>
    </xf>
    <xf numFmtId="43" fontId="30" fillId="0" borderId="108" xfId="2" applyFont="1" applyFill="1" applyBorder="1" applyAlignment="1">
      <alignment vertical="top"/>
    </xf>
    <xf numFmtId="43" fontId="30" fillId="0" borderId="109" xfId="2" applyFont="1" applyFill="1" applyBorder="1" applyAlignment="1">
      <alignment vertical="top"/>
    </xf>
    <xf numFmtId="0" fontId="31" fillId="0" borderId="110" xfId="0" applyFont="1" applyFill="1" applyBorder="1" applyAlignment="1">
      <alignment vertical="top"/>
    </xf>
    <xf numFmtId="170" fontId="31" fillId="0" borderId="111" xfId="2" applyNumberFormat="1" applyFont="1" applyFill="1" applyBorder="1" applyAlignment="1">
      <alignment vertical="top"/>
    </xf>
    <xf numFmtId="0" fontId="31" fillId="0" borderId="111" xfId="0" applyFont="1" applyFill="1" applyBorder="1" applyAlignment="1">
      <alignment vertical="top"/>
    </xf>
    <xf numFmtId="43" fontId="31" fillId="0" borderId="111" xfId="2" applyFont="1" applyFill="1" applyBorder="1" applyAlignment="1">
      <alignment vertical="top"/>
    </xf>
    <xf numFmtId="43" fontId="31" fillId="0" borderId="112" xfId="2" applyFont="1" applyFill="1" applyBorder="1" applyAlignment="1">
      <alignment vertical="top"/>
    </xf>
    <xf numFmtId="0" fontId="30" fillId="0" borderId="113" xfId="0" applyFont="1" applyFill="1" applyBorder="1" applyAlignment="1">
      <alignment vertical="top"/>
    </xf>
    <xf numFmtId="170" fontId="30" fillId="0" borderId="114" xfId="2" applyNumberFormat="1" applyFont="1" applyFill="1" applyBorder="1" applyAlignment="1">
      <alignment vertical="top"/>
    </xf>
    <xf numFmtId="0" fontId="30" fillId="0" borderId="114" xfId="0" applyFont="1" applyFill="1" applyBorder="1" applyAlignment="1">
      <alignment vertical="top"/>
    </xf>
    <xf numFmtId="43" fontId="30" fillId="0" borderId="114" xfId="2" applyFont="1" applyFill="1" applyBorder="1" applyAlignment="1">
      <alignment vertical="top"/>
    </xf>
    <xf numFmtId="43" fontId="30" fillId="0" borderId="115" xfId="2" applyFont="1" applyFill="1" applyBorder="1" applyAlignment="1">
      <alignment vertical="top"/>
    </xf>
    <xf numFmtId="0" fontId="31" fillId="0" borderId="113" xfId="0" applyFont="1" applyFill="1" applyBorder="1" applyAlignment="1">
      <alignment vertical="top"/>
    </xf>
    <xf numFmtId="170" fontId="31" fillId="0" borderId="114" xfId="2" applyNumberFormat="1" applyFont="1" applyFill="1" applyBorder="1" applyAlignment="1">
      <alignment vertical="top"/>
    </xf>
    <xf numFmtId="0" fontId="31" fillId="0" borderId="114" xfId="0" applyFont="1" applyFill="1" applyBorder="1" applyAlignment="1">
      <alignment vertical="top"/>
    </xf>
    <xf numFmtId="43" fontId="31" fillId="0" borderId="0" xfId="2" quotePrefix="1" applyFont="1" applyFill="1" applyBorder="1" applyAlignment="1">
      <alignment horizontal="right"/>
    </xf>
    <xf numFmtId="43" fontId="31" fillId="0" borderId="114" xfId="2" applyFont="1" applyFill="1" applyBorder="1" applyAlignment="1">
      <alignment vertical="top"/>
    </xf>
    <xf numFmtId="43" fontId="31" fillId="0" borderId="115" xfId="2" applyFont="1" applyFill="1" applyBorder="1" applyAlignment="1">
      <alignment vertical="top"/>
    </xf>
    <xf numFmtId="0" fontId="31" fillId="0" borderId="113" xfId="0" applyFont="1" applyFill="1" applyBorder="1"/>
    <xf numFmtId="0" fontId="31" fillId="0" borderId="116" xfId="0" applyFont="1" applyFill="1" applyBorder="1" applyAlignment="1">
      <alignment vertical="top"/>
    </xf>
    <xf numFmtId="170" fontId="31" fillId="0" borderId="117" xfId="2" applyNumberFormat="1" applyFont="1" applyFill="1" applyBorder="1" applyAlignment="1">
      <alignment vertical="top"/>
    </xf>
    <xf numFmtId="0" fontId="31" fillId="0" borderId="117" xfId="0" applyFont="1" applyFill="1" applyBorder="1" applyAlignment="1">
      <alignment vertical="top"/>
    </xf>
    <xf numFmtId="43" fontId="31" fillId="0" borderId="117" xfId="2" applyFont="1" applyFill="1" applyBorder="1" applyAlignment="1">
      <alignment vertical="top"/>
    </xf>
    <xf numFmtId="43" fontId="31" fillId="0" borderId="118" xfId="2" applyFont="1" applyFill="1" applyBorder="1" applyAlignment="1">
      <alignment vertical="top"/>
    </xf>
    <xf numFmtId="0" fontId="31" fillId="0" borderId="119" xfId="0" applyFont="1" applyFill="1" applyBorder="1" applyAlignment="1">
      <alignment vertical="top"/>
    </xf>
    <xf numFmtId="170" fontId="31" fillId="0" borderId="120" xfId="2" applyNumberFormat="1" applyFont="1" applyFill="1" applyBorder="1" applyAlignment="1">
      <alignment vertical="top"/>
    </xf>
    <xf numFmtId="0" fontId="31" fillId="0" borderId="120" xfId="0" applyFont="1" applyFill="1" applyBorder="1" applyAlignment="1">
      <alignment vertical="top"/>
    </xf>
    <xf numFmtId="43" fontId="31" fillId="0" borderId="120" xfId="2" applyFont="1" applyFill="1" applyBorder="1" applyAlignment="1">
      <alignment vertical="top"/>
    </xf>
    <xf numFmtId="43" fontId="31" fillId="0" borderId="121" xfId="2" applyFont="1" applyFill="1" applyBorder="1" applyAlignment="1">
      <alignment vertical="top"/>
    </xf>
    <xf numFmtId="0" fontId="30" fillId="0" borderId="119" xfId="0" applyFont="1" applyFill="1" applyBorder="1" applyAlignment="1">
      <alignment vertical="top"/>
    </xf>
    <xf numFmtId="170" fontId="30" fillId="0" borderId="120" xfId="2" applyNumberFormat="1" applyFont="1" applyFill="1" applyBorder="1" applyAlignment="1">
      <alignment vertical="top"/>
    </xf>
    <xf numFmtId="0" fontId="30" fillId="0" borderId="120" xfId="0" applyFont="1" applyFill="1" applyBorder="1" applyAlignment="1">
      <alignment vertical="top"/>
    </xf>
    <xf numFmtId="43" fontId="30" fillId="0" borderId="120" xfId="2" applyFont="1" applyFill="1" applyBorder="1" applyAlignment="1">
      <alignment vertical="top"/>
    </xf>
    <xf numFmtId="43" fontId="30" fillId="0" borderId="121" xfId="2" applyFont="1" applyFill="1" applyBorder="1" applyAlignment="1">
      <alignment vertical="top"/>
    </xf>
    <xf numFmtId="170" fontId="32" fillId="0" borderId="114" xfId="2" applyNumberFormat="1" applyFont="1" applyFill="1" applyBorder="1" applyAlignment="1">
      <alignment vertical="top"/>
    </xf>
    <xf numFmtId="0" fontId="32" fillId="0" borderId="114" xfId="0" applyFont="1" applyFill="1" applyBorder="1" applyAlignment="1">
      <alignment vertical="top"/>
    </xf>
    <xf numFmtId="43" fontId="32" fillId="0" borderId="114" xfId="2" applyFont="1" applyFill="1" applyBorder="1" applyAlignment="1">
      <alignment vertical="top"/>
    </xf>
    <xf numFmtId="0" fontId="31" fillId="0" borderId="110" xfId="0" applyFont="1" applyFill="1" applyBorder="1"/>
    <xf numFmtId="0" fontId="31" fillId="0" borderId="122" xfId="0" applyFont="1" applyFill="1" applyBorder="1"/>
    <xf numFmtId="170" fontId="32" fillId="0" borderId="123" xfId="2" applyNumberFormat="1" applyFont="1" applyFill="1" applyBorder="1" applyAlignment="1">
      <alignment vertical="top"/>
    </xf>
    <xf numFmtId="0" fontId="32" fillId="0" borderId="123" xfId="0" applyFont="1" applyFill="1" applyBorder="1" applyAlignment="1">
      <alignment vertical="top"/>
    </xf>
    <xf numFmtId="0" fontId="30" fillId="0" borderId="123" xfId="0" applyFont="1" applyFill="1" applyBorder="1" applyAlignment="1">
      <alignment vertical="top"/>
    </xf>
    <xf numFmtId="43" fontId="32" fillId="0" borderId="123" xfId="2" applyFont="1" applyFill="1" applyBorder="1" applyAlignment="1">
      <alignment vertical="top"/>
    </xf>
    <xf numFmtId="43" fontId="30" fillId="0" borderId="124" xfId="2" applyFont="1" applyFill="1" applyBorder="1" applyAlignment="1">
      <alignment vertical="top"/>
    </xf>
    <xf numFmtId="0" fontId="31" fillId="0" borderId="116" xfId="0" applyFont="1" applyFill="1" applyBorder="1"/>
    <xf numFmtId="170" fontId="32" fillId="0" borderId="117" xfId="2" applyNumberFormat="1" applyFont="1" applyFill="1" applyBorder="1" applyAlignment="1">
      <alignment vertical="top"/>
    </xf>
    <xf numFmtId="0" fontId="32" fillId="0" borderId="117" xfId="0" applyFont="1" applyFill="1" applyBorder="1" applyAlignment="1">
      <alignment vertical="top"/>
    </xf>
    <xf numFmtId="0" fontId="30" fillId="0" borderId="117" xfId="0" applyFont="1" applyFill="1" applyBorder="1" applyAlignment="1">
      <alignment vertical="top"/>
    </xf>
    <xf numFmtId="43" fontId="32" fillId="0" borderId="117" xfId="2" applyFont="1" applyFill="1" applyBorder="1" applyAlignment="1">
      <alignment vertical="top"/>
    </xf>
    <xf numFmtId="43" fontId="30" fillId="0" borderId="118" xfId="2" applyFont="1" applyFill="1" applyBorder="1" applyAlignment="1">
      <alignment vertical="top"/>
    </xf>
    <xf numFmtId="43" fontId="30" fillId="0" borderId="123" xfId="2" applyFont="1" applyFill="1" applyBorder="1" applyAlignment="1">
      <alignment vertical="top"/>
    </xf>
    <xf numFmtId="43" fontId="30" fillId="0" borderId="117" xfId="2" applyFont="1" applyFill="1" applyBorder="1" applyAlignment="1">
      <alignment vertical="top"/>
    </xf>
    <xf numFmtId="0" fontId="30" fillId="0" borderId="122" xfId="0" applyFont="1" applyFill="1" applyBorder="1" applyAlignment="1">
      <alignment vertical="top"/>
    </xf>
    <xf numFmtId="170" fontId="30" fillId="0" borderId="123" xfId="2" applyNumberFormat="1" applyFont="1" applyFill="1" applyBorder="1" applyAlignment="1">
      <alignment vertical="top"/>
    </xf>
    <xf numFmtId="0" fontId="30" fillId="0" borderId="0" xfId="0" applyFont="1" applyFill="1"/>
    <xf numFmtId="0" fontId="30" fillId="0" borderId="116" xfId="0" applyFont="1" applyFill="1" applyBorder="1" applyAlignment="1">
      <alignment vertical="top"/>
    </xf>
    <xf numFmtId="170" fontId="30" fillId="0" borderId="117" xfId="2" applyNumberFormat="1" applyFont="1" applyFill="1" applyBorder="1" applyAlignment="1">
      <alignment vertical="top"/>
    </xf>
    <xf numFmtId="170" fontId="30" fillId="0" borderId="107" xfId="2" applyNumberFormat="1" applyFont="1" applyFill="1" applyBorder="1" applyAlignment="1">
      <alignment vertical="top"/>
    </xf>
    <xf numFmtId="170" fontId="30" fillId="2" borderId="102" xfId="2" applyNumberFormat="1" applyFont="1" applyFill="1" applyBorder="1" applyAlignment="1">
      <alignment horizontal="center" vertical="center"/>
    </xf>
    <xf numFmtId="43" fontId="30" fillId="2" borderId="102" xfId="2" applyFont="1" applyFill="1" applyBorder="1" applyAlignment="1">
      <alignment horizontal="center" vertical="center"/>
    </xf>
    <xf numFmtId="43" fontId="30" fillId="2" borderId="103" xfId="2" applyFont="1" applyFill="1" applyBorder="1" applyAlignment="1">
      <alignment horizontal="center" vertical="center"/>
    </xf>
    <xf numFmtId="170" fontId="31" fillId="0" borderId="113" xfId="0" applyNumberFormat="1" applyFont="1" applyFill="1" applyBorder="1" applyAlignment="1">
      <alignment vertical="top"/>
    </xf>
    <xf numFmtId="43" fontId="31" fillId="0" borderId="0" xfId="0" applyNumberFormat="1" applyFont="1" applyFill="1"/>
    <xf numFmtId="0" fontId="32" fillId="0" borderId="122" xfId="0" applyFont="1" applyFill="1" applyBorder="1" applyAlignment="1">
      <alignment vertical="top"/>
    </xf>
    <xf numFmtId="0" fontId="32" fillId="0" borderId="116" xfId="0" applyFont="1" applyFill="1" applyBorder="1" applyAlignment="1">
      <alignment vertical="top"/>
    </xf>
    <xf numFmtId="0" fontId="32" fillId="0" borderId="113" xfId="0" applyFont="1" applyFill="1" applyBorder="1" applyAlignment="1">
      <alignment vertical="top"/>
    </xf>
    <xf numFmtId="0" fontId="32" fillId="0" borderId="108" xfId="0" applyFont="1" applyFill="1" applyBorder="1" applyAlignment="1">
      <alignment vertical="top"/>
    </xf>
    <xf numFmtId="43" fontId="32" fillId="0" borderId="108" xfId="2" applyFont="1" applyFill="1" applyBorder="1" applyAlignment="1">
      <alignment vertical="top"/>
    </xf>
    <xf numFmtId="43" fontId="32" fillId="0" borderId="109" xfId="2" applyFont="1" applyFill="1" applyBorder="1" applyAlignment="1">
      <alignment vertical="top"/>
    </xf>
    <xf numFmtId="170" fontId="31" fillId="0" borderId="114" xfId="2" applyNumberFormat="1" applyFont="1" applyFill="1" applyBorder="1" applyAlignment="1">
      <alignment horizontal="right" vertical="top"/>
    </xf>
    <xf numFmtId="170" fontId="30" fillId="0" borderId="114" xfId="2" applyNumberFormat="1" applyFont="1" applyFill="1" applyBorder="1" applyAlignment="1">
      <alignment horizontal="right" vertical="top"/>
    </xf>
    <xf numFmtId="43" fontId="31" fillId="0" borderId="114" xfId="2" quotePrefix="1" applyFont="1" applyFill="1" applyBorder="1" applyAlignment="1">
      <alignment horizontal="right"/>
    </xf>
    <xf numFmtId="0" fontId="31" fillId="0" borderId="125" xfId="0" applyFont="1" applyFill="1" applyBorder="1"/>
    <xf numFmtId="0" fontId="31" fillId="0" borderId="126" xfId="0" applyFont="1" applyFill="1" applyBorder="1"/>
    <xf numFmtId="169" fontId="31" fillId="0" borderId="126" xfId="2" applyNumberFormat="1" applyFont="1" applyFill="1" applyBorder="1"/>
    <xf numFmtId="169" fontId="31" fillId="0" borderId="127" xfId="2" applyNumberFormat="1" applyFont="1" applyFill="1" applyBorder="1"/>
    <xf numFmtId="0" fontId="11" fillId="0" borderId="167" xfId="0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164" fontId="11" fillId="0" borderId="168" xfId="0" applyNumberFormat="1" applyFont="1" applyBorder="1" applyAlignment="1">
      <alignment horizontal="center"/>
    </xf>
    <xf numFmtId="167" fontId="11" fillId="0" borderId="168" xfId="0" applyNumberFormat="1" applyFont="1" applyFill="1" applyBorder="1" applyAlignment="1">
      <alignment horizontal="center"/>
    </xf>
    <xf numFmtId="167" fontId="11" fillId="0" borderId="168" xfId="0" applyNumberFormat="1" applyFont="1" applyBorder="1" applyAlignment="1">
      <alignment horizontal="center"/>
    </xf>
    <xf numFmtId="167" fontId="11" fillId="6" borderId="169" xfId="0" applyNumberFormat="1" applyFont="1" applyFill="1" applyBorder="1" applyAlignment="1">
      <alignment horizontal="center"/>
    </xf>
    <xf numFmtId="2" fontId="8" fillId="6" borderId="170" xfId="0" applyNumberFormat="1" applyFont="1" applyFill="1" applyBorder="1" applyAlignment="1">
      <alignment horizontal="center"/>
    </xf>
    <xf numFmtId="42" fontId="0" fillId="0" borderId="0" xfId="0" applyNumberFormat="1"/>
    <xf numFmtId="0" fontId="21" fillId="0" borderId="0" xfId="0" applyFont="1" applyAlignment="1">
      <alignment horizontal="center"/>
    </xf>
    <xf numFmtId="9" fontId="0" fillId="0" borderId="0" xfId="0" applyNumberFormat="1"/>
    <xf numFmtId="0" fontId="0" fillId="12" borderId="0" xfId="0" applyFill="1"/>
    <xf numFmtId="0" fontId="11" fillId="0" borderId="0" xfId="0" applyFont="1" applyBorder="1"/>
    <xf numFmtId="0" fontId="8" fillId="0" borderId="171" xfId="0" applyFont="1" applyFill="1" applyBorder="1"/>
    <xf numFmtId="0" fontId="8" fillId="0" borderId="172" xfId="0" applyFont="1" applyFill="1" applyBorder="1"/>
    <xf numFmtId="0" fontId="8" fillId="0" borderId="173" xfId="0" applyFont="1" applyFill="1" applyBorder="1"/>
    <xf numFmtId="0" fontId="11" fillId="0" borderId="176" xfId="0" applyFont="1" applyFill="1" applyBorder="1"/>
    <xf numFmtId="0" fontId="11" fillId="0" borderId="177" xfId="0" applyFont="1" applyFill="1" applyBorder="1"/>
    <xf numFmtId="0" fontId="11" fillId="0" borderId="178" xfId="0" applyFont="1" applyFill="1" applyBorder="1"/>
    <xf numFmtId="0" fontId="34" fillId="15" borderId="172" xfId="0" applyFont="1" applyFill="1" applyBorder="1" applyAlignment="1">
      <alignment horizontal="center"/>
    </xf>
    <xf numFmtId="0" fontId="34" fillId="15" borderId="172" xfId="27" applyFont="1" applyFill="1" applyBorder="1"/>
    <xf numFmtId="0" fontId="34" fillId="15" borderId="173" xfId="27" applyFont="1" applyFill="1" applyBorder="1"/>
    <xf numFmtId="0" fontId="34" fillId="14" borderId="179" xfId="0" applyFont="1" applyFill="1" applyBorder="1"/>
    <xf numFmtId="0" fontId="34" fillId="14" borderId="180" xfId="27" applyFont="1" applyFill="1" applyBorder="1"/>
    <xf numFmtId="0" fontId="34" fillId="14" borderId="180" xfId="0" applyFont="1" applyFill="1" applyBorder="1"/>
    <xf numFmtId="0" fontId="34" fillId="14" borderId="181" xfId="27" applyFont="1" applyFill="1" applyBorder="1"/>
    <xf numFmtId="0" fontId="34" fillId="14" borderId="182" xfId="0" applyFont="1" applyFill="1" applyBorder="1"/>
    <xf numFmtId="0" fontId="34" fillId="14" borderId="129" xfId="0" applyFont="1" applyFill="1" applyBorder="1"/>
    <xf numFmtId="0" fontId="34" fillId="14" borderId="129" xfId="27" applyFont="1" applyFill="1" applyBorder="1"/>
    <xf numFmtId="0" fontId="34" fillId="14" borderId="183" xfId="27" applyFont="1" applyFill="1" applyBorder="1"/>
    <xf numFmtId="0" fontId="34" fillId="14" borderId="129" xfId="27" applyFont="1" applyFill="1" applyBorder="1" applyAlignment="1">
      <alignment horizontal="center"/>
    </xf>
    <xf numFmtId="3" fontId="34" fillId="14" borderId="129" xfId="27" applyNumberFormat="1" applyFont="1" applyFill="1" applyBorder="1" applyAlignment="1">
      <alignment horizontal="left"/>
    </xf>
    <xf numFmtId="0" fontId="34" fillId="14" borderId="182" xfId="27" applyFont="1" applyFill="1" applyBorder="1"/>
    <xf numFmtId="0" fontId="34" fillId="14" borderId="184" xfId="27" applyFont="1" applyFill="1" applyBorder="1"/>
    <xf numFmtId="0" fontId="34" fillId="14" borderId="135" xfId="27" applyFont="1" applyFill="1" applyBorder="1"/>
    <xf numFmtId="0" fontId="34" fillId="14" borderId="185" xfId="27" applyFont="1" applyFill="1" applyBorder="1"/>
    <xf numFmtId="0" fontId="34" fillId="14" borderId="186" xfId="27" applyFont="1" applyFill="1" applyBorder="1"/>
    <xf numFmtId="0" fontId="34" fillId="14" borderId="187" xfId="27" applyFont="1" applyFill="1" applyBorder="1"/>
    <xf numFmtId="0" fontId="34" fillId="14" borderId="187" xfId="27" applyFont="1" applyFill="1" applyBorder="1" applyAlignment="1">
      <alignment horizontal="right"/>
    </xf>
    <xf numFmtId="2" fontId="34" fillId="14" borderId="187" xfId="27" applyNumberFormat="1" applyFont="1" applyFill="1" applyBorder="1"/>
    <xf numFmtId="44" fontId="34" fillId="14" borderId="188" xfId="27" applyNumberFormat="1" applyFont="1" applyFill="1" applyBorder="1"/>
    <xf numFmtId="0" fontId="34" fillId="14" borderId="174" xfId="27" applyFont="1" applyFill="1" applyBorder="1"/>
    <xf numFmtId="0" fontId="34" fillId="14" borderId="0" xfId="27" applyFont="1" applyFill="1" applyBorder="1"/>
    <xf numFmtId="0" fontId="7" fillId="14" borderId="0" xfId="0" applyFont="1" applyFill="1" applyBorder="1"/>
    <xf numFmtId="167" fontId="34" fillId="14" borderId="0" xfId="27" applyNumberFormat="1" applyFont="1" applyFill="1" applyBorder="1"/>
    <xf numFmtId="0" fontId="34" fillId="14" borderId="175" xfId="27" applyFont="1" applyFill="1" applyBorder="1"/>
    <xf numFmtId="46" fontId="34" fillId="14" borderId="0" xfId="27" applyNumberFormat="1" applyFont="1" applyFill="1" applyBorder="1" applyAlignment="1">
      <alignment horizontal="left"/>
    </xf>
    <xf numFmtId="0" fontId="34" fillId="14" borderId="0" xfId="0" applyFont="1" applyFill="1" applyBorder="1"/>
    <xf numFmtId="2" fontId="34" fillId="14" borderId="0" xfId="27" applyNumberFormat="1" applyFont="1" applyFill="1" applyBorder="1"/>
    <xf numFmtId="174" fontId="34" fillId="14" borderId="0" xfId="27" applyNumberFormat="1" applyFont="1" applyFill="1" applyBorder="1"/>
    <xf numFmtId="0" fontId="34" fillId="14" borderId="176" xfId="27" applyFont="1" applyFill="1" applyBorder="1"/>
    <xf numFmtId="0" fontId="34" fillId="14" borderId="177" xfId="27" applyFont="1" applyFill="1" applyBorder="1"/>
    <xf numFmtId="0" fontId="34" fillId="14" borderId="178" xfId="27" applyFont="1" applyFill="1" applyBorder="1"/>
    <xf numFmtId="0" fontId="34" fillId="14" borderId="188" xfId="27" applyFont="1" applyFill="1" applyBorder="1"/>
    <xf numFmtId="0" fontId="34" fillId="14" borderId="0" xfId="27" applyFont="1" applyFill="1" applyBorder="1" applyAlignment="1">
      <alignment horizontal="center"/>
    </xf>
    <xf numFmtId="0" fontId="34" fillId="14" borderId="0" xfId="27" applyFont="1" applyFill="1" applyBorder="1" applyAlignment="1">
      <alignment horizontal="right"/>
    </xf>
    <xf numFmtId="175" fontId="34" fillId="14" borderId="0" xfId="25" applyNumberFormat="1" applyFont="1" applyFill="1" applyBorder="1"/>
    <xf numFmtId="166" fontId="34" fillId="14" borderId="0" xfId="28" applyNumberFormat="1" applyFont="1" applyFill="1" applyBorder="1"/>
    <xf numFmtId="167" fontId="34" fillId="14" borderId="175" xfId="27" applyNumberFormat="1" applyFont="1" applyFill="1" applyBorder="1"/>
    <xf numFmtId="0" fontId="34" fillId="14" borderId="192" xfId="27" applyFont="1" applyFill="1" applyBorder="1"/>
    <xf numFmtId="0" fontId="34" fillId="14" borderId="193" xfId="27" applyFont="1" applyFill="1" applyBorder="1"/>
    <xf numFmtId="0" fontId="34" fillId="14" borderId="194" xfId="27" applyFont="1" applyFill="1" applyBorder="1"/>
    <xf numFmtId="9" fontId="34" fillId="14" borderId="0" xfId="27" applyNumberFormat="1" applyFont="1" applyFill="1" applyBorder="1"/>
    <xf numFmtId="168" fontId="34" fillId="14" borderId="0" xfId="29" applyNumberFormat="1" applyFont="1" applyFill="1" applyBorder="1"/>
    <xf numFmtId="42" fontId="34" fillId="14" borderId="0" xfId="29" applyFont="1" applyFill="1" applyBorder="1"/>
    <xf numFmtId="0" fontId="36" fillId="14" borderId="0" xfId="27" applyFont="1" applyFill="1" applyBorder="1"/>
    <xf numFmtId="168" fontId="36" fillId="14" borderId="175" xfId="27" applyNumberFormat="1" applyFont="1" applyFill="1" applyBorder="1"/>
    <xf numFmtId="0" fontId="35" fillId="14" borderId="176" xfId="27" applyFont="1" applyFill="1" applyBorder="1"/>
    <xf numFmtId="0" fontId="35" fillId="14" borderId="177" xfId="27" applyFont="1" applyFill="1" applyBorder="1"/>
    <xf numFmtId="0" fontId="34" fillId="14" borderId="174" xfId="27" applyFont="1" applyFill="1" applyBorder="1" applyAlignment="1">
      <alignment horizontal="center" vertical="center"/>
    </xf>
    <xf numFmtId="0" fontId="37" fillId="14" borderId="174" xfId="27" applyFont="1" applyFill="1" applyBorder="1"/>
    <xf numFmtId="0" fontId="37" fillId="14" borderId="0" xfId="27" applyFont="1" applyFill="1" applyBorder="1"/>
    <xf numFmtId="167" fontId="37" fillId="14" borderId="0" xfId="27" applyNumberFormat="1" applyFont="1" applyFill="1" applyBorder="1"/>
    <xf numFmtId="0" fontId="37" fillId="14" borderId="175" xfId="27" applyFont="1" applyFill="1" applyBorder="1"/>
    <xf numFmtId="0" fontId="37" fillId="14" borderId="0" xfId="14" applyFont="1" applyFill="1" applyBorder="1"/>
    <xf numFmtId="0" fontId="37" fillId="14" borderId="176" xfId="27" applyFont="1" applyFill="1" applyBorder="1"/>
    <xf numFmtId="0" fontId="37" fillId="14" borderId="177" xfId="27" applyFont="1" applyFill="1" applyBorder="1"/>
    <xf numFmtId="0" fontId="37" fillId="14" borderId="178" xfId="27" applyFont="1" applyFill="1" applyBorder="1"/>
    <xf numFmtId="0" fontId="37" fillId="14" borderId="0" xfId="27" applyFont="1" applyFill="1" applyBorder="1" applyAlignment="1">
      <alignment horizontal="center"/>
    </xf>
    <xf numFmtId="42" fontId="37" fillId="14" borderId="0" xfId="29" applyFont="1" applyFill="1" applyBorder="1"/>
    <xf numFmtId="42" fontId="40" fillId="14" borderId="0" xfId="29" applyFont="1" applyFill="1" applyBorder="1"/>
    <xf numFmtId="2" fontId="37" fillId="14" borderId="0" xfId="29" applyNumberFormat="1" applyFont="1" applyFill="1" applyBorder="1"/>
    <xf numFmtId="168" fontId="37" fillId="14" borderId="0" xfId="29" applyNumberFormat="1" applyFont="1" applyFill="1" applyBorder="1" applyAlignment="1">
      <alignment horizontal="center"/>
    </xf>
    <xf numFmtId="43" fontId="37" fillId="0" borderId="0" xfId="14" applyNumberFormat="1" applyFont="1" applyBorder="1"/>
    <xf numFmtId="0" fontId="9" fillId="14" borderId="0" xfId="27" applyFont="1" applyFill="1" applyBorder="1"/>
    <xf numFmtId="42" fontId="37" fillId="14" borderId="175" xfId="27" applyNumberFormat="1" applyFont="1" applyFill="1" applyBorder="1"/>
    <xf numFmtId="0" fontId="37" fillId="14" borderId="175" xfId="14" applyFont="1" applyFill="1" applyBorder="1"/>
    <xf numFmtId="44" fontId="37" fillId="14" borderId="0" xfId="14" applyNumberFormat="1" applyFont="1" applyFill="1" applyBorder="1"/>
    <xf numFmtId="42" fontId="37" fillId="14" borderId="0" xfId="14" applyNumberFormat="1" applyFont="1" applyFill="1" applyBorder="1"/>
    <xf numFmtId="0" fontId="37" fillId="14" borderId="0" xfId="27" applyFont="1" applyFill="1" applyBorder="1" applyAlignment="1"/>
    <xf numFmtId="0" fontId="0" fillId="0" borderId="0" xfId="0" applyBorder="1"/>
    <xf numFmtId="164" fontId="41" fillId="14" borderId="34" xfId="0" applyNumberFormat="1" applyFont="1" applyFill="1" applyBorder="1" applyAlignment="1">
      <alignment horizontal="center" vertical="center"/>
    </xf>
    <xf numFmtId="164" fontId="41" fillId="14" borderId="4" xfId="0" applyNumberFormat="1" applyFont="1" applyFill="1" applyBorder="1" applyAlignment="1">
      <alignment horizontal="center" vertical="center"/>
    </xf>
    <xf numFmtId="164" fontId="11" fillId="14" borderId="4" xfId="0" applyNumberFormat="1" applyFont="1" applyFill="1" applyBorder="1" applyAlignment="1">
      <alignment horizontal="center" vertical="center"/>
    </xf>
    <xf numFmtId="164" fontId="10" fillId="14" borderId="4" xfId="0" applyNumberFormat="1" applyFont="1" applyFill="1" applyBorder="1" applyAlignment="1">
      <alignment horizontal="center" vertical="center"/>
    </xf>
    <xf numFmtId="0" fontId="30" fillId="5" borderId="101" xfId="0" applyFont="1" applyFill="1" applyBorder="1" applyAlignment="1">
      <alignment horizontal="center" vertical="center"/>
    </xf>
    <xf numFmtId="0" fontId="30" fillId="5" borderId="102" xfId="0" applyFont="1" applyFill="1" applyBorder="1" applyAlignment="1">
      <alignment horizontal="center" vertical="center"/>
    </xf>
    <xf numFmtId="0" fontId="31" fillId="5" borderId="102" xfId="0" applyFont="1" applyFill="1" applyBorder="1" applyAlignment="1">
      <alignment horizontal="center" vertical="center"/>
    </xf>
    <xf numFmtId="0" fontId="30" fillId="16" borderId="101" xfId="0" applyFont="1" applyFill="1" applyBorder="1" applyAlignment="1">
      <alignment horizontal="center" vertical="center"/>
    </xf>
    <xf numFmtId="0" fontId="30" fillId="16" borderId="102" xfId="0" applyFont="1" applyFill="1" applyBorder="1" applyAlignment="1">
      <alignment horizontal="center" vertical="center"/>
    </xf>
    <xf numFmtId="0" fontId="31" fillId="16" borderId="102" xfId="0" applyFont="1" applyFill="1" applyBorder="1" applyAlignment="1">
      <alignment horizontal="center" vertical="center"/>
    </xf>
    <xf numFmtId="169" fontId="30" fillId="16" borderId="102" xfId="2" applyNumberFormat="1" applyFont="1" applyFill="1" applyBorder="1" applyAlignment="1">
      <alignment horizontal="center" vertical="center"/>
    </xf>
    <xf numFmtId="169" fontId="30" fillId="16" borderId="103" xfId="2" applyNumberFormat="1" applyFont="1" applyFill="1" applyBorder="1" applyAlignment="1">
      <alignment horizontal="center" vertical="center"/>
    </xf>
    <xf numFmtId="170" fontId="30" fillId="5" borderId="102" xfId="2" applyNumberFormat="1" applyFont="1" applyFill="1" applyBorder="1" applyAlignment="1">
      <alignment horizontal="center" vertical="center"/>
    </xf>
    <xf numFmtId="43" fontId="30" fillId="5" borderId="102" xfId="2" applyFont="1" applyFill="1" applyBorder="1" applyAlignment="1">
      <alignment horizontal="center" vertical="center"/>
    </xf>
    <xf numFmtId="43" fontId="30" fillId="5" borderId="103" xfId="2" applyFont="1" applyFill="1" applyBorder="1" applyAlignment="1">
      <alignment horizontal="center" vertical="center"/>
    </xf>
    <xf numFmtId="0" fontId="26" fillId="5" borderId="83" xfId="0" applyFont="1" applyFill="1" applyBorder="1" applyAlignment="1">
      <alignment horizontal="center" vertical="top"/>
    </xf>
    <xf numFmtId="43" fontId="27" fillId="5" borderId="84" xfId="2" applyFont="1" applyFill="1" applyBorder="1" applyAlignment="1">
      <alignment horizontal="center" vertical="top"/>
    </xf>
    <xf numFmtId="0" fontId="26" fillId="5" borderId="87" xfId="0" applyFont="1" applyFill="1" applyBorder="1" applyAlignment="1">
      <alignment horizontal="center" vertical="top"/>
    </xf>
    <xf numFmtId="43" fontId="27" fillId="5" borderId="88" xfId="2" applyFont="1" applyFill="1" applyBorder="1" applyAlignment="1">
      <alignment horizontal="center" vertical="top"/>
    </xf>
    <xf numFmtId="171" fontId="8" fillId="5" borderId="12" xfId="12" applyNumberFormat="1" applyFont="1" applyFill="1" applyBorder="1" applyAlignment="1">
      <alignment horizontal="center" vertical="center"/>
    </xf>
    <xf numFmtId="164" fontId="11" fillId="18" borderId="4" xfId="0" applyNumberFormat="1" applyFont="1" applyFill="1" applyBorder="1" applyAlignment="1">
      <alignment horizontal="center" vertical="center"/>
    </xf>
    <xf numFmtId="164" fontId="19" fillId="19" borderId="4" xfId="0" applyNumberFormat="1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vertical="center"/>
    </xf>
    <xf numFmtId="164" fontId="11" fillId="18" borderId="34" xfId="0" applyNumberFormat="1" applyFont="1" applyFill="1" applyBorder="1" applyAlignment="1">
      <alignment horizontal="center" vertical="center"/>
    </xf>
    <xf numFmtId="167" fontId="10" fillId="5" borderId="57" xfId="0" applyNumberFormat="1" applyFont="1" applyFill="1" applyBorder="1"/>
    <xf numFmtId="167" fontId="10" fillId="5" borderId="57" xfId="0" applyNumberFormat="1" applyFont="1" applyFill="1" applyBorder="1" applyAlignment="1">
      <alignment horizontal="center"/>
    </xf>
    <xf numFmtId="167" fontId="11" fillId="11" borderId="57" xfId="0" applyNumberFormat="1" applyFont="1" applyFill="1" applyBorder="1"/>
    <xf numFmtId="167" fontId="11" fillId="11" borderId="57" xfId="0" applyNumberFormat="1" applyFont="1" applyFill="1" applyBorder="1" applyAlignment="1">
      <alignment horizontal="center"/>
    </xf>
    <xf numFmtId="0" fontId="34" fillId="16" borderId="174" xfId="26" applyFont="1" applyFill="1" applyBorder="1"/>
    <xf numFmtId="0" fontId="34" fillId="16" borderId="0" xfId="26" applyFont="1" applyFill="1" applyBorder="1"/>
    <xf numFmtId="0" fontId="34" fillId="16" borderId="175" xfId="26" applyFont="1" applyFill="1" applyBorder="1"/>
    <xf numFmtId="0" fontId="35" fillId="2" borderId="171" xfId="27" applyFont="1" applyFill="1" applyBorder="1"/>
    <xf numFmtId="0" fontId="35" fillId="2" borderId="172" xfId="27" applyFont="1" applyFill="1" applyBorder="1"/>
    <xf numFmtId="0" fontId="34" fillId="2" borderId="172" xfId="27" applyFont="1" applyFill="1" applyBorder="1"/>
    <xf numFmtId="0" fontId="34" fillId="2" borderId="173" xfId="27" applyFont="1" applyFill="1" applyBorder="1"/>
    <xf numFmtId="0" fontId="35" fillId="2" borderId="189" xfId="27" applyFont="1" applyFill="1" applyBorder="1"/>
    <xf numFmtId="0" fontId="35" fillId="2" borderId="190" xfId="27" applyFont="1" applyFill="1" applyBorder="1"/>
    <xf numFmtId="0" fontId="34" fillId="2" borderId="190" xfId="27" applyFont="1" applyFill="1" applyBorder="1"/>
    <xf numFmtId="0" fontId="34" fillId="2" borderId="191" xfId="27" applyFont="1" applyFill="1" applyBorder="1"/>
    <xf numFmtId="0" fontId="35" fillId="2" borderId="174" xfId="27" applyFont="1" applyFill="1" applyBorder="1"/>
    <xf numFmtId="0" fontId="35" fillId="2" borderId="0" xfId="27" applyFont="1" applyFill="1" applyBorder="1"/>
    <xf numFmtId="0" fontId="34" fillId="2" borderId="0" xfId="27" applyFont="1" applyFill="1" applyBorder="1"/>
    <xf numFmtId="0" fontId="34" fillId="2" borderId="175" xfId="27" applyFont="1" applyFill="1" applyBorder="1"/>
    <xf numFmtId="0" fontId="37" fillId="2" borderId="171" xfId="27" applyFont="1" applyFill="1" applyBorder="1"/>
    <xf numFmtId="0" fontId="37" fillId="2" borderId="172" xfId="27" applyFont="1" applyFill="1" applyBorder="1"/>
    <xf numFmtId="0" fontId="37" fillId="2" borderId="173" xfId="27" applyFont="1" applyFill="1" applyBorder="1"/>
    <xf numFmtId="0" fontId="37" fillId="17" borderId="174" xfId="27" applyFont="1" applyFill="1" applyBorder="1"/>
    <xf numFmtId="0" fontId="37" fillId="17" borderId="0" xfId="27" applyFont="1" applyFill="1" applyBorder="1"/>
    <xf numFmtId="0" fontId="37" fillId="17" borderId="0" xfId="27" applyFont="1" applyFill="1" applyBorder="1" applyAlignment="1">
      <alignment horizontal="right"/>
    </xf>
    <xf numFmtId="44" fontId="37" fillId="17" borderId="175" xfId="27" applyNumberFormat="1" applyFont="1" applyFill="1" applyBorder="1"/>
    <xf numFmtId="42" fontId="20" fillId="5" borderId="97" xfId="0" applyNumberFormat="1" applyFont="1" applyFill="1" applyBorder="1"/>
    <xf numFmtId="0" fontId="34" fillId="17" borderId="174" xfId="27" applyFont="1" applyFill="1" applyBorder="1"/>
    <xf numFmtId="0" fontId="34" fillId="17" borderId="0" xfId="27" applyFont="1" applyFill="1" applyBorder="1"/>
    <xf numFmtId="167" fontId="34" fillId="17" borderId="175" xfId="27" applyNumberFormat="1" applyFont="1" applyFill="1" applyBorder="1"/>
    <xf numFmtId="0" fontId="37" fillId="3" borderId="174" xfId="27" applyFont="1" applyFill="1" applyBorder="1"/>
    <xf numFmtId="0" fontId="37" fillId="3" borderId="0" xfId="27" applyFont="1" applyFill="1" applyBorder="1"/>
    <xf numFmtId="0" fontId="37" fillId="3" borderId="0" xfId="27" applyFont="1" applyFill="1" applyBorder="1" applyAlignment="1">
      <alignment horizontal="right"/>
    </xf>
    <xf numFmtId="44" fontId="37" fillId="3" borderId="175" xfId="27" applyNumberFormat="1" applyFont="1" applyFill="1" applyBorder="1"/>
    <xf numFmtId="164" fontId="11" fillId="20" borderId="39" xfId="0" applyNumberFormat="1" applyFont="1" applyFill="1" applyBorder="1" applyAlignment="1">
      <alignment horizontal="center"/>
    </xf>
    <xf numFmtId="167" fontId="11" fillId="20" borderId="39" xfId="0" applyNumberFormat="1" applyFont="1" applyFill="1" applyBorder="1" applyAlignment="1">
      <alignment horizontal="center"/>
    </xf>
    <xf numFmtId="164" fontId="11" fillId="21" borderId="4" xfId="0" applyNumberFormat="1" applyFont="1" applyFill="1" applyBorder="1" applyAlignment="1">
      <alignment horizontal="center" vertical="center"/>
    </xf>
    <xf numFmtId="0" fontId="5" fillId="16" borderId="144" xfId="0" applyNumberFormat="1" applyFont="1" applyFill="1" applyBorder="1" applyAlignment="1">
      <alignment horizontal="center" vertical="center"/>
    </xf>
    <xf numFmtId="42" fontId="5" fillId="16" borderId="96" xfId="0" applyNumberFormat="1" applyFont="1" applyFill="1" applyBorder="1" applyAlignment="1">
      <alignment horizontal="center" vertical="center"/>
    </xf>
    <xf numFmtId="42" fontId="5" fillId="16" borderId="97" xfId="0" applyNumberFormat="1" applyFont="1" applyFill="1" applyBorder="1" applyAlignment="1">
      <alignment horizontal="center" vertical="center"/>
    </xf>
    <xf numFmtId="0" fontId="34" fillId="14" borderId="129" xfId="0" applyFont="1" applyFill="1" applyBorder="1" applyAlignment="1">
      <alignment horizontal="left" vertical="center"/>
    </xf>
    <xf numFmtId="0" fontId="14" fillId="16" borderId="60" xfId="0" applyFont="1" applyFill="1" applyBorder="1" applyAlignment="1">
      <alignment horizontal="center" vertical="center"/>
    </xf>
    <xf numFmtId="0" fontId="8" fillId="22" borderId="100" xfId="11" applyFont="1" applyFill="1" applyBorder="1"/>
    <xf numFmtId="0" fontId="8" fillId="22" borderId="129" xfId="11" applyFont="1" applyFill="1" applyBorder="1"/>
    <xf numFmtId="0" fontId="8" fillId="22" borderId="144" xfId="11" applyFont="1" applyFill="1" applyBorder="1" applyAlignment="1">
      <alignment horizontal="center"/>
    </xf>
    <xf numFmtId="0" fontId="11" fillId="22" borderId="21" xfId="11" applyFont="1" applyFill="1" applyBorder="1"/>
    <xf numFmtId="0" fontId="11" fillId="22" borderId="96" xfId="11" applyFont="1" applyFill="1" applyBorder="1" applyAlignment="1">
      <alignment horizontal="center" vertical="center"/>
    </xf>
    <xf numFmtId="2" fontId="11" fillId="22" borderId="96" xfId="12" applyNumberFormat="1" applyFont="1" applyFill="1" applyBorder="1" applyAlignment="1">
      <alignment horizontal="center" vertical="center"/>
    </xf>
    <xf numFmtId="171" fontId="11" fillId="22" borderId="96" xfId="12" applyNumberFormat="1" applyFont="1" applyFill="1" applyBorder="1" applyAlignment="1">
      <alignment horizontal="center" vertical="center"/>
    </xf>
    <xf numFmtId="171" fontId="9" fillId="22" borderId="146" xfId="11" applyNumberFormat="1" applyFill="1" applyBorder="1"/>
    <xf numFmtId="171" fontId="11" fillId="22" borderId="97" xfId="12" applyNumberFormat="1" applyFont="1" applyFill="1" applyBorder="1" applyAlignment="1">
      <alignment horizontal="center" vertical="center"/>
    </xf>
    <xf numFmtId="0" fontId="8" fillId="22" borderId="145" xfId="11" applyFont="1" applyFill="1" applyBorder="1"/>
    <xf numFmtId="0" fontId="8" fillId="22" borderId="146" xfId="11" applyFont="1" applyFill="1" applyBorder="1"/>
    <xf numFmtId="3" fontId="11" fillId="22" borderId="96" xfId="12" applyNumberFormat="1" applyFont="1" applyFill="1" applyBorder="1" applyAlignment="1">
      <alignment horizontal="center" vertical="center"/>
    </xf>
    <xf numFmtId="171" fontId="11" fillId="22" borderId="146" xfId="11" applyNumberFormat="1" applyFont="1" applyFill="1" applyBorder="1" applyAlignment="1">
      <alignment horizontal="center" vertical="center"/>
    </xf>
    <xf numFmtId="0" fontId="11" fillId="0" borderId="32" xfId="11" applyFont="1" applyBorder="1" applyAlignment="1">
      <alignment horizontal="center"/>
    </xf>
    <xf numFmtId="0" fontId="11" fillId="0" borderId="5" xfId="11" applyFont="1" applyBorder="1"/>
    <xf numFmtId="2" fontId="11" fillId="0" borderId="2" xfId="12" applyNumberFormat="1" applyFont="1" applyBorder="1" applyAlignment="1">
      <alignment horizontal="center" vertical="center"/>
    </xf>
    <xf numFmtId="171" fontId="11" fillId="0" borderId="2" xfId="12" applyNumberFormat="1" applyFont="1" applyBorder="1" applyAlignment="1">
      <alignment horizontal="center" vertical="center"/>
    </xf>
    <xf numFmtId="171" fontId="11" fillId="0" borderId="33" xfId="12" applyNumberFormat="1" applyFont="1" applyBorder="1" applyAlignment="1">
      <alignment horizontal="center" vertical="center"/>
    </xf>
    <xf numFmtId="0" fontId="11" fillId="0" borderId="154" xfId="0" applyFont="1" applyBorder="1" applyAlignment="1">
      <alignment vertical="center"/>
    </xf>
    <xf numFmtId="164" fontId="11" fillId="0" borderId="100" xfId="0" applyNumberFormat="1" applyFont="1" applyBorder="1" applyAlignment="1">
      <alignment horizontal="center" vertical="center"/>
    </xf>
    <xf numFmtId="164" fontId="11" fillId="0" borderId="15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15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164" fontId="11" fillId="0" borderId="154" xfId="0" applyNumberFormat="1" applyFont="1" applyBorder="1" applyAlignment="1">
      <alignment vertical="center"/>
    </xf>
    <xf numFmtId="164" fontId="11" fillId="0" borderId="155" xfId="0" applyNumberFormat="1" applyFont="1" applyBorder="1" applyAlignment="1">
      <alignment vertical="center"/>
    </xf>
    <xf numFmtId="164" fontId="11" fillId="0" borderId="139" xfId="0" applyNumberFormat="1" applyFont="1" applyBorder="1" applyAlignment="1">
      <alignment horizontal="center" vertical="center"/>
    </xf>
    <xf numFmtId="164" fontId="11" fillId="0" borderId="142" xfId="0" applyNumberFormat="1" applyFont="1" applyBorder="1" applyAlignment="1">
      <alignment horizontal="center" vertical="center"/>
    </xf>
    <xf numFmtId="0" fontId="11" fillId="0" borderId="142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196" xfId="0" applyFont="1" applyBorder="1" applyAlignment="1">
      <alignment vertical="center"/>
    </xf>
    <xf numFmtId="164" fontId="11" fillId="24" borderId="4" xfId="0" applyNumberFormat="1" applyFont="1" applyFill="1" applyBorder="1" applyAlignment="1">
      <alignment horizontal="center" vertical="center"/>
    </xf>
    <xf numFmtId="164" fontId="11" fillId="24" borderId="100" xfId="0" applyNumberFormat="1" applyFont="1" applyFill="1" applyBorder="1" applyAlignment="1">
      <alignment horizontal="center" vertical="center"/>
    </xf>
    <xf numFmtId="164" fontId="11" fillId="25" borderId="34" xfId="0" applyNumberFormat="1" applyFont="1" applyFill="1" applyBorder="1" applyAlignment="1">
      <alignment horizontal="center" vertical="center"/>
    </xf>
    <xf numFmtId="164" fontId="11" fillId="25" borderId="4" xfId="0" applyNumberFormat="1" applyFont="1" applyFill="1" applyBorder="1" applyAlignment="1">
      <alignment horizontal="center" vertical="center"/>
    </xf>
    <xf numFmtId="164" fontId="11" fillId="25" borderId="100" xfId="0" applyNumberFormat="1" applyFont="1" applyFill="1" applyBorder="1" applyAlignment="1">
      <alignment horizontal="center" vertical="center"/>
    </xf>
    <xf numFmtId="0" fontId="11" fillId="24" borderId="5" xfId="0" applyFont="1" applyFill="1" applyBorder="1" applyAlignment="1">
      <alignment vertical="center"/>
    </xf>
    <xf numFmtId="0" fontId="11" fillId="24" borderId="33" xfId="0" applyFont="1" applyFill="1" applyBorder="1" applyAlignment="1">
      <alignment vertical="center"/>
    </xf>
    <xf numFmtId="164" fontId="11" fillId="23" borderId="4" xfId="0" applyNumberFormat="1" applyFont="1" applyFill="1" applyBorder="1" applyAlignment="1">
      <alignment horizontal="center" vertical="center"/>
    </xf>
    <xf numFmtId="164" fontId="11" fillId="23" borderId="100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vertical="center"/>
    </xf>
    <xf numFmtId="0" fontId="11" fillId="23" borderId="33" xfId="0" applyFont="1" applyFill="1" applyBorder="1" applyAlignment="1">
      <alignment vertical="center"/>
    </xf>
    <xf numFmtId="164" fontId="19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64" fontId="11" fillId="0" borderId="57" xfId="0" applyNumberFormat="1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164" fontId="11" fillId="0" borderId="58" xfId="0" applyNumberFormat="1" applyFont="1" applyBorder="1" applyAlignment="1">
      <alignment vertical="center"/>
    </xf>
    <xf numFmtId="0" fontId="14" fillId="16" borderId="154" xfId="0" applyFont="1" applyFill="1" applyBorder="1" applyAlignment="1">
      <alignment horizontal="center" vertical="center"/>
    </xf>
    <xf numFmtId="164" fontId="11" fillId="20" borderId="41" xfId="0" applyNumberFormat="1" applyFont="1" applyFill="1" applyBorder="1" applyAlignment="1">
      <alignment horizontal="center"/>
    </xf>
    <xf numFmtId="167" fontId="11" fillId="0" borderId="41" xfId="0" applyNumberFormat="1" applyFont="1" applyBorder="1"/>
    <xf numFmtId="167" fontId="11" fillId="20" borderId="41" xfId="0" applyNumberFormat="1" applyFont="1" applyFill="1" applyBorder="1" applyAlignment="1">
      <alignment horizontal="center"/>
    </xf>
    <xf numFmtId="167" fontId="11" fillId="0" borderId="74" xfId="0" applyNumberFormat="1" applyFont="1" applyBorder="1"/>
    <xf numFmtId="167" fontId="11" fillId="0" borderId="70" xfId="0" applyNumberFormat="1" applyFont="1" applyBorder="1"/>
    <xf numFmtId="167" fontId="11" fillId="0" borderId="41" xfId="0" applyNumberFormat="1" applyFont="1" applyBorder="1" applyAlignment="1">
      <alignment horizontal="center"/>
    </xf>
    <xf numFmtId="167" fontId="11" fillId="0" borderId="0" xfId="0" applyNumberFormat="1" applyFont="1" applyBorder="1"/>
    <xf numFmtId="0" fontId="8" fillId="6" borderId="152" xfId="0" applyFont="1" applyFill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/>
    </xf>
    <xf numFmtId="0" fontId="11" fillId="0" borderId="63" xfId="0" applyFont="1" applyBorder="1"/>
    <xf numFmtId="44" fontId="11" fillId="6" borderId="28" xfId="0" applyNumberFormat="1" applyFont="1" applyFill="1" applyBorder="1" applyAlignment="1">
      <alignment horizontal="center"/>
    </xf>
    <xf numFmtId="0" fontId="11" fillId="0" borderId="38" xfId="0" applyFont="1" applyBorder="1"/>
    <xf numFmtId="0" fontId="11" fillId="0" borderId="43" xfId="0" applyFont="1" applyBorder="1"/>
    <xf numFmtId="164" fontId="11" fillId="20" borderId="43" xfId="0" applyNumberFormat="1" applyFont="1" applyFill="1" applyBorder="1" applyAlignment="1">
      <alignment horizontal="center"/>
    </xf>
    <xf numFmtId="167" fontId="11" fillId="0" borderId="43" xfId="0" applyNumberFormat="1" applyFont="1" applyBorder="1"/>
    <xf numFmtId="167" fontId="11" fillId="20" borderId="43" xfId="0" applyNumberFormat="1" applyFont="1" applyFill="1" applyBorder="1" applyAlignment="1">
      <alignment horizontal="center"/>
    </xf>
    <xf numFmtId="167" fontId="11" fillId="0" borderId="75" xfId="0" applyNumberFormat="1" applyFont="1" applyBorder="1"/>
    <xf numFmtId="167" fontId="11" fillId="0" borderId="38" xfId="0" applyNumberFormat="1" applyFont="1" applyBorder="1"/>
    <xf numFmtId="167" fontId="11" fillId="0" borderId="43" xfId="0" applyNumberFormat="1" applyFont="1" applyBorder="1" applyAlignment="1">
      <alignment horizontal="center"/>
    </xf>
    <xf numFmtId="167" fontId="11" fillId="0" borderId="1" xfId="0" applyNumberFormat="1" applyFont="1" applyBorder="1"/>
    <xf numFmtId="167" fontId="11" fillId="6" borderId="198" xfId="0" applyNumberFormat="1" applyFont="1" applyFill="1" applyBorder="1" applyAlignment="1">
      <alignment horizontal="center"/>
    </xf>
    <xf numFmtId="0" fontId="11" fillId="25" borderId="11" xfId="0" applyFont="1" applyFill="1" applyBorder="1" applyAlignment="1">
      <alignment horizontal="center" vertical="center"/>
    </xf>
    <xf numFmtId="0" fontId="11" fillId="25" borderId="12" xfId="0" applyFont="1" applyFill="1" applyBorder="1" applyAlignment="1">
      <alignment horizontal="center" vertical="center"/>
    </xf>
    <xf numFmtId="0" fontId="11" fillId="25" borderId="13" xfId="0" applyFont="1" applyFill="1" applyBorder="1" applyAlignment="1">
      <alignment horizontal="center" vertical="center"/>
    </xf>
    <xf numFmtId="167" fontId="5" fillId="11" borderId="13" xfId="0" applyNumberFormat="1" applyFont="1" applyFill="1" applyBorder="1" applyAlignment="1">
      <alignment horizontal="right" vertical="center"/>
    </xf>
    <xf numFmtId="0" fontId="11" fillId="0" borderId="149" xfId="0" applyFont="1" applyBorder="1"/>
    <xf numFmtId="0" fontId="11" fillId="0" borderId="150" xfId="0" applyFont="1" applyBorder="1"/>
    <xf numFmtId="0" fontId="7" fillId="0" borderId="144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0" fontId="7" fillId="0" borderId="9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8" fillId="22" borderId="94" xfId="11" applyFont="1" applyFill="1" applyBorder="1" applyAlignment="1">
      <alignment horizontal="center"/>
    </xf>
    <xf numFmtId="0" fontId="8" fillId="22" borderId="197" xfId="11" applyFont="1" applyFill="1" applyBorder="1"/>
    <xf numFmtId="0" fontId="8" fillId="22" borderId="154" xfId="11" applyFont="1" applyFill="1" applyBorder="1"/>
    <xf numFmtId="0" fontId="11" fillId="22" borderId="30" xfId="11" applyFont="1" applyFill="1" applyBorder="1"/>
    <xf numFmtId="0" fontId="11" fillId="22" borderId="31" xfId="11" applyFont="1" applyFill="1" applyBorder="1" applyAlignment="1">
      <alignment horizontal="center" vertical="center"/>
    </xf>
    <xf numFmtId="2" fontId="11" fillId="22" borderId="31" xfId="12" applyNumberFormat="1" applyFont="1" applyFill="1" applyBorder="1" applyAlignment="1">
      <alignment horizontal="center" vertical="center"/>
    </xf>
    <xf numFmtId="171" fontId="11" fillId="22" borderId="31" xfId="12" applyNumberFormat="1" applyFont="1" applyFill="1" applyBorder="1" applyAlignment="1">
      <alignment horizontal="center" vertical="center"/>
    </xf>
    <xf numFmtId="171" fontId="9" fillId="22" borderId="154" xfId="11" applyNumberFormat="1" applyFill="1" applyBorder="1"/>
    <xf numFmtId="171" fontId="11" fillId="22" borderId="95" xfId="12" applyNumberFormat="1" applyFont="1" applyFill="1" applyBorder="1" applyAlignment="1">
      <alignment horizontal="center" vertical="center"/>
    </xf>
    <xf numFmtId="0" fontId="11" fillId="0" borderId="199" xfId="11" applyFont="1" applyBorder="1" applyAlignment="1">
      <alignment horizontal="center"/>
    </xf>
    <xf numFmtId="0" fontId="11" fillId="0" borderId="200" xfId="11" applyFont="1" applyBorder="1"/>
    <xf numFmtId="0" fontId="11" fillId="0" borderId="201" xfId="11" applyFont="1" applyBorder="1"/>
    <xf numFmtId="0" fontId="11" fillId="0" borderId="202" xfId="11" applyFont="1" applyBorder="1"/>
    <xf numFmtId="0" fontId="11" fillId="0" borderId="203" xfId="11" applyFont="1" applyBorder="1" applyAlignment="1">
      <alignment horizontal="center" vertical="center"/>
    </xf>
    <xf numFmtId="2" fontId="11" fillId="0" borderId="203" xfId="12" applyNumberFormat="1" applyFont="1" applyBorder="1" applyAlignment="1">
      <alignment horizontal="center" vertical="center"/>
    </xf>
    <xf numFmtId="171" fontId="11" fillId="0" borderId="203" xfId="12" applyNumberFormat="1" applyFont="1" applyBorder="1" applyAlignment="1">
      <alignment horizontal="center" vertical="center"/>
    </xf>
    <xf numFmtId="171" fontId="11" fillId="0" borderId="201" xfId="11" applyNumberFormat="1" applyFont="1" applyBorder="1" applyAlignment="1">
      <alignment horizontal="center" vertical="center"/>
    </xf>
    <xf numFmtId="171" fontId="11" fillId="0" borderId="204" xfId="12" applyNumberFormat="1" applyFont="1" applyBorder="1" applyAlignment="1">
      <alignment horizontal="center" vertical="center"/>
    </xf>
    <xf numFmtId="0" fontId="22" fillId="12" borderId="164" xfId="0" applyFont="1" applyFill="1" applyBorder="1" applyAlignment="1">
      <alignment horizontal="center" vertical="center"/>
    </xf>
    <xf numFmtId="0" fontId="22" fillId="12" borderId="16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16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5" borderId="81" xfId="0" applyFont="1" applyFill="1" applyBorder="1" applyAlignment="1">
      <alignment horizontal="center" vertical="center"/>
    </xf>
    <xf numFmtId="0" fontId="27" fillId="5" borderId="85" xfId="0" applyFont="1" applyFill="1" applyBorder="1" applyAlignment="1">
      <alignment horizontal="center" vertical="center"/>
    </xf>
    <xf numFmtId="0" fontId="27" fillId="5" borderId="82" xfId="0" applyFont="1" applyFill="1" applyBorder="1" applyAlignment="1">
      <alignment horizontal="center" vertical="center"/>
    </xf>
    <xf numFmtId="0" fontId="27" fillId="5" borderId="8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8" fillId="5" borderId="147" xfId="11" applyFont="1" applyFill="1" applyBorder="1" applyAlignment="1">
      <alignment horizontal="center" vertical="center"/>
    </xf>
    <xf numFmtId="0" fontId="8" fillId="5" borderId="130" xfId="11" applyFont="1" applyFill="1" applyBorder="1" applyAlignment="1">
      <alignment horizontal="center" vertical="center"/>
    </xf>
    <xf numFmtId="0" fontId="8" fillId="5" borderId="15" xfId="11" applyFont="1" applyFill="1" applyBorder="1" applyAlignment="1">
      <alignment horizontal="center" vertical="center"/>
    </xf>
    <xf numFmtId="0" fontId="8" fillId="5" borderId="19" xfId="11" applyFont="1" applyFill="1" applyBorder="1" applyAlignment="1">
      <alignment horizontal="center" vertical="center"/>
    </xf>
    <xf numFmtId="3" fontId="8" fillId="5" borderId="15" xfId="12" applyNumberFormat="1" applyFont="1" applyFill="1" applyBorder="1" applyAlignment="1">
      <alignment horizontal="center" vertical="center"/>
    </xf>
    <xf numFmtId="3" fontId="8" fillId="5" borderId="19" xfId="12" applyNumberFormat="1" applyFont="1" applyFill="1" applyBorder="1" applyAlignment="1">
      <alignment horizontal="center" vertical="center"/>
    </xf>
    <xf numFmtId="171" fontId="8" fillId="5" borderId="93" xfId="12" applyNumberFormat="1" applyFont="1" applyFill="1" applyBorder="1" applyAlignment="1">
      <alignment horizontal="center" vertical="center" wrapText="1"/>
    </xf>
    <xf numFmtId="171" fontId="8" fillId="5" borderId="95" xfId="12" applyNumberFormat="1" applyFont="1" applyFill="1" applyBorder="1" applyAlignment="1">
      <alignment horizontal="center" vertical="center" wrapText="1"/>
    </xf>
    <xf numFmtId="0" fontId="5" fillId="16" borderId="151" xfId="11" applyFont="1" applyFill="1" applyBorder="1" applyAlignment="1">
      <alignment horizontal="center" vertical="center"/>
    </xf>
    <xf numFmtId="0" fontId="5" fillId="16" borderId="98" xfId="11" applyFont="1" applyFill="1" applyBorder="1" applyAlignment="1">
      <alignment horizontal="center" vertical="center"/>
    </xf>
    <xf numFmtId="0" fontId="5" fillId="16" borderId="152" xfId="11" applyFont="1" applyFill="1" applyBorder="1" applyAlignment="1">
      <alignment horizontal="center" vertical="center"/>
    </xf>
    <xf numFmtId="0" fontId="5" fillId="16" borderId="153" xfId="11" applyFont="1" applyFill="1" applyBorder="1" applyAlignment="1">
      <alignment horizontal="center" vertical="center"/>
    </xf>
    <xf numFmtId="0" fontId="5" fillId="16" borderId="154" xfId="11" applyFont="1" applyFill="1" applyBorder="1" applyAlignment="1">
      <alignment horizontal="center" vertical="center"/>
    </xf>
    <xf numFmtId="0" fontId="5" fillId="16" borderId="155" xfId="11" applyFont="1" applyFill="1" applyBorder="1" applyAlignment="1">
      <alignment horizontal="center" vertical="center"/>
    </xf>
    <xf numFmtId="0" fontId="5" fillId="5" borderId="11" xfId="11" applyFont="1" applyFill="1" applyBorder="1" applyAlignment="1">
      <alignment horizontal="center"/>
    </xf>
    <xf numFmtId="0" fontId="5" fillId="5" borderId="146" xfId="11" applyFont="1" applyFill="1" applyBorder="1" applyAlignment="1">
      <alignment horizontal="center"/>
    </xf>
    <xf numFmtId="171" fontId="8" fillId="5" borderId="128" xfId="11" applyNumberFormat="1" applyFont="1" applyFill="1" applyBorder="1" applyAlignment="1">
      <alignment horizontal="center" vertical="center"/>
    </xf>
    <xf numFmtId="171" fontId="8" fillId="5" borderId="131" xfId="11" applyNumberFormat="1" applyFont="1" applyFill="1" applyBorder="1" applyAlignment="1">
      <alignment horizontal="center" vertical="center"/>
    </xf>
    <xf numFmtId="171" fontId="8" fillId="5" borderId="92" xfId="12" applyNumberFormat="1" applyFont="1" applyFill="1" applyBorder="1" applyAlignment="1">
      <alignment horizontal="center" vertical="center" wrapText="1"/>
    </xf>
    <xf numFmtId="171" fontId="8" fillId="5" borderId="31" xfId="1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151" xfId="0" applyFont="1" applyBorder="1" applyAlignment="1">
      <alignment horizontal="center"/>
    </xf>
    <xf numFmtId="0" fontId="11" fillId="0" borderId="156" xfId="0" applyFont="1" applyBorder="1" applyAlignment="1">
      <alignment horizontal="center"/>
    </xf>
    <xf numFmtId="0" fontId="11" fillId="0" borderId="15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11" borderId="11" xfId="0" applyFont="1" applyFill="1" applyBorder="1" applyAlignment="1">
      <alignment horizontal="center" wrapText="1"/>
    </xf>
    <xf numFmtId="0" fontId="11" fillId="11" borderId="21" xfId="0" applyFont="1" applyFill="1" applyBorder="1" applyAlignment="1">
      <alignment horizontal="center" wrapText="1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67" xfId="0" applyNumberFormat="1" applyFont="1" applyFill="1" applyBorder="1" applyAlignment="1">
      <alignment horizontal="center" vertical="center"/>
    </xf>
    <xf numFmtId="1" fontId="14" fillId="0" borderId="68" xfId="0" applyNumberFormat="1" applyFont="1" applyFill="1" applyBorder="1" applyAlignment="1">
      <alignment horizontal="center" vertical="center"/>
    </xf>
    <xf numFmtId="1" fontId="14" fillId="0" borderId="195" xfId="0" applyNumberFormat="1" applyFont="1" applyFill="1" applyBorder="1" applyAlignment="1">
      <alignment horizontal="center" vertical="center"/>
    </xf>
    <xf numFmtId="164" fontId="5" fillId="0" borderId="61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2" fontId="11" fillId="0" borderId="39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167" fontId="8" fillId="0" borderId="24" xfId="0" applyNumberFormat="1" applyFont="1" applyFill="1" applyBorder="1" applyAlignment="1">
      <alignment horizontal="center" vertical="center"/>
    </xf>
    <xf numFmtId="167" fontId="8" fillId="0" borderId="29" xfId="0" applyNumberFormat="1" applyFont="1" applyFill="1" applyBorder="1" applyAlignment="1">
      <alignment horizontal="center" vertical="center"/>
    </xf>
    <xf numFmtId="1" fontId="14" fillId="0" borderId="94" xfId="0" applyNumberFormat="1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2" fontId="11" fillId="0" borderId="48" xfId="0" applyNumberFormat="1" applyFont="1" applyBorder="1" applyAlignment="1">
      <alignment horizontal="center" vertical="center"/>
    </xf>
    <xf numFmtId="167" fontId="11" fillId="0" borderId="46" xfId="0" applyNumberFormat="1" applyFont="1" applyBorder="1" applyAlignment="1">
      <alignment horizontal="center" vertical="center"/>
    </xf>
    <xf numFmtId="167" fontId="11" fillId="0" borderId="49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4" fontId="5" fillId="0" borderId="149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 wrapText="1"/>
    </xf>
    <xf numFmtId="0" fontId="11" fillId="0" borderId="14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/>
    </xf>
    <xf numFmtId="42" fontId="5" fillId="2" borderId="61" xfId="0" applyNumberFormat="1" applyFont="1" applyFill="1" applyBorder="1" applyAlignment="1">
      <alignment horizontal="left"/>
    </xf>
    <xf numFmtId="42" fontId="5" fillId="2" borderId="25" xfId="0" applyNumberFormat="1" applyFont="1" applyFill="1" applyBorder="1" applyAlignment="1">
      <alignment horizontal="left"/>
    </xf>
    <xf numFmtId="42" fontId="5" fillId="2" borderId="26" xfId="0" applyNumberFormat="1" applyFont="1" applyFill="1" applyBorder="1" applyAlignment="1">
      <alignment horizontal="left"/>
    </xf>
    <xf numFmtId="0" fontId="20" fillId="5" borderId="11" xfId="0" applyNumberFormat="1" applyFont="1" applyFill="1" applyBorder="1" applyAlignment="1">
      <alignment horizontal="center"/>
    </xf>
    <xf numFmtId="0" fontId="20" fillId="5" borderId="146" xfId="0" applyNumberFormat="1" applyFont="1" applyFill="1" applyBorder="1" applyAlignment="1">
      <alignment horizontal="center"/>
    </xf>
    <xf numFmtId="0" fontId="20" fillId="5" borderId="21" xfId="0" applyNumberFormat="1" applyFont="1" applyFill="1" applyBorder="1" applyAlignment="1">
      <alignment horizontal="center"/>
    </xf>
    <xf numFmtId="0" fontId="20" fillId="10" borderId="11" xfId="0" applyNumberFormat="1" applyFont="1" applyFill="1" applyBorder="1" applyAlignment="1">
      <alignment horizontal="center"/>
    </xf>
    <xf numFmtId="0" fontId="20" fillId="10" borderId="146" xfId="0" applyNumberFormat="1" applyFont="1" applyFill="1" applyBorder="1" applyAlignment="1">
      <alignment horizontal="center"/>
    </xf>
    <xf numFmtId="0" fontId="20" fillId="10" borderId="21" xfId="0" applyNumberFormat="1" applyFont="1" applyFill="1" applyBorder="1" applyAlignment="1">
      <alignment horizontal="center"/>
    </xf>
    <xf numFmtId="0" fontId="11" fillId="11" borderId="76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11" fillId="11" borderId="10" xfId="0" applyFont="1" applyFill="1" applyBorder="1" applyAlignment="1">
      <alignment horizontal="center"/>
    </xf>
    <xf numFmtId="0" fontId="11" fillId="6" borderId="7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0" fontId="11" fillId="6" borderId="60" xfId="0" applyFont="1" applyFill="1" applyBorder="1" applyAlignment="1">
      <alignment horizontal="center"/>
    </xf>
    <xf numFmtId="42" fontId="1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14" fillId="16" borderId="31" xfId="0" applyFont="1" applyFill="1" applyBorder="1" applyAlignment="1">
      <alignment horizontal="center" vertical="center"/>
    </xf>
    <xf numFmtId="0" fontId="14" fillId="16" borderId="197" xfId="0" applyFont="1" applyFill="1" applyBorder="1" applyAlignment="1">
      <alignment horizontal="center" vertical="center"/>
    </xf>
    <xf numFmtId="0" fontId="14" fillId="16" borderId="154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5" borderId="7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8" fillId="16" borderId="62" xfId="0" applyFont="1" applyFill="1" applyBorder="1" applyAlignment="1">
      <alignment horizontal="center" vertical="center"/>
    </xf>
    <xf numFmtId="0" fontId="8" fillId="16" borderId="65" xfId="0" applyFont="1" applyFill="1" applyBorder="1" applyAlignment="1">
      <alignment horizontal="center" vertical="center"/>
    </xf>
    <xf numFmtId="0" fontId="8" fillId="16" borderId="63" xfId="0" applyFont="1" applyFill="1" applyBorder="1" applyAlignment="1">
      <alignment horizontal="center" vertical="center"/>
    </xf>
    <xf numFmtId="0" fontId="8" fillId="16" borderId="66" xfId="0" applyFont="1" applyFill="1" applyBorder="1" applyAlignment="1">
      <alignment horizontal="center" vertical="center"/>
    </xf>
    <xf numFmtId="0" fontId="14" fillId="16" borderId="30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4" borderId="174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8" fillId="14" borderId="175" xfId="0" applyFont="1" applyFill="1" applyBorder="1" applyAlignment="1">
      <alignment horizontal="center"/>
    </xf>
    <xf numFmtId="0" fontId="34" fillId="15" borderId="171" xfId="0" applyFont="1" applyFill="1" applyBorder="1" applyAlignment="1">
      <alignment horizontal="center"/>
    </xf>
    <xf numFmtId="0" fontId="34" fillId="15" borderId="172" xfId="0" applyFont="1" applyFill="1" applyBorder="1" applyAlignment="1">
      <alignment horizontal="center"/>
    </xf>
    <xf numFmtId="0" fontId="34" fillId="14" borderId="0" xfId="0" applyFont="1" applyFill="1" applyAlignment="1">
      <alignment vertical="center"/>
    </xf>
    <xf numFmtId="0" fontId="34" fillId="14" borderId="0" xfId="0" applyFont="1" applyFill="1" applyAlignment="1">
      <alignment horizontal="center" vertical="center"/>
    </xf>
    <xf numFmtId="0" fontId="34" fillId="14" borderId="0" xfId="0" applyFont="1" applyFill="1" applyAlignment="1">
      <alignment horizontal="left" vertical="center"/>
    </xf>
    <xf numFmtId="2" fontId="34" fillId="14" borderId="0" xfId="0" applyNumberFormat="1" applyFont="1" applyFill="1" applyAlignment="1">
      <alignment horizontal="center" vertical="center"/>
    </xf>
    <xf numFmtId="1" fontId="34" fillId="14" borderId="0" xfId="0" applyNumberFormat="1" applyFont="1" applyFill="1" applyAlignment="1">
      <alignment horizontal="center" vertical="center"/>
    </xf>
    <xf numFmtId="0" fontId="34" fillId="14" borderId="205" xfId="0" applyFont="1" applyFill="1" applyBorder="1" applyAlignment="1">
      <alignment horizontal="center" vertical="center"/>
    </xf>
    <xf numFmtId="0" fontId="34" fillId="14" borderId="206" xfId="0" applyFont="1" applyFill="1" applyBorder="1" applyAlignment="1">
      <alignment horizontal="center" vertical="center"/>
    </xf>
    <xf numFmtId="2" fontId="34" fillId="14" borderId="207" xfId="0" applyNumberFormat="1" applyFont="1" applyFill="1" applyBorder="1" applyAlignment="1">
      <alignment horizontal="center" vertical="center"/>
    </xf>
    <xf numFmtId="0" fontId="34" fillId="14" borderId="207" xfId="0" applyFont="1" applyFill="1" applyBorder="1" applyAlignment="1">
      <alignment horizontal="center" vertical="center"/>
    </xf>
    <xf numFmtId="2" fontId="34" fillId="14" borderId="208" xfId="0" applyNumberFormat="1" applyFont="1" applyFill="1" applyBorder="1" applyAlignment="1">
      <alignment horizontal="center" vertical="center"/>
    </xf>
    <xf numFmtId="0" fontId="34" fillId="14" borderId="171" xfId="0" applyFont="1" applyFill="1" applyBorder="1" applyAlignment="1">
      <alignment horizontal="left" vertical="top"/>
    </xf>
    <xf numFmtId="0" fontId="34" fillId="14" borderId="209" xfId="0" applyFont="1" applyFill="1" applyBorder="1" applyAlignment="1">
      <alignment horizontal="left" vertical="top"/>
    </xf>
    <xf numFmtId="0" fontId="34" fillId="14" borderId="207" xfId="0" applyFont="1" applyFill="1" applyBorder="1" applyAlignment="1">
      <alignment horizontal="center" vertical="center"/>
    </xf>
    <xf numFmtId="0" fontId="34" fillId="14" borderId="210" xfId="0" applyFont="1" applyFill="1" applyBorder="1" applyAlignment="1">
      <alignment horizontal="center" vertical="center"/>
    </xf>
    <xf numFmtId="0" fontId="34" fillId="14" borderId="211" xfId="0" applyFont="1" applyFill="1" applyBorder="1" applyAlignment="1">
      <alignment horizontal="center" vertical="center"/>
    </xf>
    <xf numFmtId="1" fontId="34" fillId="14" borderId="207" xfId="0" applyNumberFormat="1" applyFont="1" applyFill="1" applyBorder="1" applyAlignment="1">
      <alignment horizontal="center" vertical="center"/>
    </xf>
    <xf numFmtId="2" fontId="34" fillId="14" borderId="212" xfId="0" applyNumberFormat="1" applyFont="1" applyFill="1" applyBorder="1" applyAlignment="1">
      <alignment horizontal="left" vertical="top"/>
    </xf>
    <xf numFmtId="2" fontId="34" fillId="14" borderId="209" xfId="0" applyNumberFormat="1" applyFont="1" applyFill="1" applyBorder="1" applyAlignment="1">
      <alignment vertical="center"/>
    </xf>
    <xf numFmtId="0" fontId="34" fillId="14" borderId="207" xfId="0" applyFont="1" applyFill="1" applyBorder="1" applyAlignment="1">
      <alignment horizontal="center"/>
    </xf>
    <xf numFmtId="2" fontId="34" fillId="14" borderId="212" xfId="0" applyNumberFormat="1" applyFont="1" applyFill="1" applyBorder="1" applyAlignment="1">
      <alignment horizontal="center" vertical="center"/>
    </xf>
    <xf numFmtId="0" fontId="0" fillId="0" borderId="209" xfId="0" applyBorder="1"/>
    <xf numFmtId="164" fontId="34" fillId="14" borderId="212" xfId="0" applyNumberFormat="1" applyFont="1" applyFill="1" applyBorder="1" applyAlignment="1">
      <alignment horizontal="center" vertical="center"/>
    </xf>
    <xf numFmtId="164" fontId="34" fillId="14" borderId="209" xfId="0" applyNumberFormat="1" applyFont="1" applyFill="1" applyBorder="1" applyAlignment="1">
      <alignment horizontal="center" vertical="center"/>
    </xf>
    <xf numFmtId="164" fontId="34" fillId="14" borderId="207" xfId="0" applyNumberFormat="1" applyFont="1" applyFill="1" applyBorder="1" applyAlignment="1">
      <alignment horizontal="center" vertical="center"/>
    </xf>
    <xf numFmtId="1" fontId="34" fillId="14" borderId="208" xfId="0" applyNumberFormat="1" applyFont="1" applyFill="1" applyBorder="1" applyAlignment="1">
      <alignment horizontal="center" vertical="center"/>
    </xf>
    <xf numFmtId="0" fontId="34" fillId="14" borderId="213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2" fontId="34" fillId="14" borderId="57" xfId="0" applyNumberFormat="1" applyFont="1" applyFill="1" applyBorder="1" applyAlignment="1">
      <alignment horizontal="center" vertical="center"/>
    </xf>
    <xf numFmtId="0" fontId="34" fillId="14" borderId="57" xfId="0" applyFont="1" applyFill="1" applyBorder="1" applyAlignment="1">
      <alignment horizontal="center" vertical="center"/>
    </xf>
    <xf numFmtId="2" fontId="34" fillId="14" borderId="214" xfId="0" applyNumberFormat="1" applyFont="1" applyFill="1" applyBorder="1" applyAlignment="1">
      <alignment horizontal="center" vertical="center"/>
    </xf>
    <xf numFmtId="0" fontId="34" fillId="14" borderId="215" xfId="0" applyFont="1" applyFill="1" applyBorder="1" applyAlignment="1">
      <alignment horizontal="left" vertical="top"/>
    </xf>
    <xf numFmtId="0" fontId="34" fillId="14" borderId="30" xfId="0" applyFont="1" applyFill="1" applyBorder="1" applyAlignment="1">
      <alignment horizontal="left" vertical="top"/>
    </xf>
    <xf numFmtId="0" fontId="34" fillId="14" borderId="216" xfId="0" applyFont="1" applyFill="1" applyBorder="1" applyAlignment="1">
      <alignment horizontal="center" vertical="center"/>
    </xf>
    <xf numFmtId="0" fontId="34" fillId="14" borderId="217" xfId="0" applyFont="1" applyFill="1" applyBorder="1" applyAlignment="1">
      <alignment horizontal="center" vertical="center"/>
    </xf>
    <xf numFmtId="1" fontId="34" fillId="14" borderId="57" xfId="0" applyNumberFormat="1" applyFont="1" applyFill="1" applyBorder="1" applyAlignment="1">
      <alignment horizontal="center" vertical="center"/>
    </xf>
    <xf numFmtId="2" fontId="34" fillId="14" borderId="5" xfId="0" applyNumberFormat="1" applyFont="1" applyFill="1" applyBorder="1" applyAlignment="1">
      <alignment horizontal="left" vertical="top"/>
    </xf>
    <xf numFmtId="2" fontId="34" fillId="14" borderId="1" xfId="0" applyNumberFormat="1" applyFont="1" applyFill="1" applyBorder="1" applyAlignment="1">
      <alignment vertical="center"/>
    </xf>
    <xf numFmtId="0" fontId="34" fillId="14" borderId="57" xfId="0" applyFont="1" applyFill="1" applyBorder="1" applyAlignment="1">
      <alignment horizontal="center"/>
    </xf>
    <xf numFmtId="2" fontId="34" fillId="14" borderId="5" xfId="0" applyNumberFormat="1" applyFont="1" applyFill="1" applyBorder="1" applyAlignment="1">
      <alignment horizontal="center" vertical="center"/>
    </xf>
    <xf numFmtId="0" fontId="0" fillId="0" borderId="1" xfId="0" applyBorder="1"/>
    <xf numFmtId="164" fontId="34" fillId="14" borderId="5" xfId="0" applyNumberFormat="1" applyFont="1" applyFill="1" applyBorder="1" applyAlignment="1">
      <alignment horizontal="center" vertical="center"/>
    </xf>
    <xf numFmtId="164" fontId="34" fillId="14" borderId="1" xfId="0" applyNumberFormat="1" applyFont="1" applyFill="1" applyBorder="1" applyAlignment="1">
      <alignment horizontal="center" vertical="center"/>
    </xf>
    <xf numFmtId="164" fontId="34" fillId="14" borderId="57" xfId="0" applyNumberFormat="1" applyFont="1" applyFill="1" applyBorder="1" applyAlignment="1">
      <alignment horizontal="center" vertical="center"/>
    </xf>
    <xf numFmtId="1" fontId="34" fillId="14" borderId="214" xfId="0" applyNumberFormat="1" applyFont="1" applyFill="1" applyBorder="1" applyAlignment="1">
      <alignment horizontal="center" vertical="center"/>
    </xf>
    <xf numFmtId="0" fontId="34" fillId="14" borderId="218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34" fillId="14" borderId="57" xfId="0" applyFont="1" applyFill="1" applyBorder="1" applyAlignment="1">
      <alignment horizontal="center" vertical="center"/>
    </xf>
    <xf numFmtId="0" fontId="34" fillId="14" borderId="6" xfId="0" applyFont="1" applyFill="1" applyBorder="1" applyAlignment="1">
      <alignment horizontal="center" vertical="center"/>
    </xf>
    <xf numFmtId="0" fontId="34" fillId="14" borderId="7" xfId="0" applyFont="1" applyFill="1" applyBorder="1" applyAlignment="1">
      <alignment horizontal="center" vertical="center"/>
    </xf>
    <xf numFmtId="1" fontId="34" fillId="14" borderId="57" xfId="0" applyNumberFormat="1" applyFont="1" applyFill="1" applyBorder="1" applyAlignment="1">
      <alignment horizontal="center" vertical="center"/>
    </xf>
    <xf numFmtId="2" fontId="34" fillId="14" borderId="6" xfId="0" applyNumberFormat="1" applyFont="1" applyFill="1" applyBorder="1" applyAlignment="1">
      <alignment horizontal="left" vertical="top"/>
    </xf>
    <xf numFmtId="2" fontId="34" fillId="14" borderId="7" xfId="0" applyNumberFormat="1" applyFont="1" applyFill="1" applyBorder="1" applyAlignment="1">
      <alignment vertical="center"/>
    </xf>
    <xf numFmtId="0" fontId="34" fillId="14" borderId="57" xfId="0" applyFont="1" applyFill="1" applyBorder="1" applyAlignment="1">
      <alignment horizontal="center"/>
    </xf>
    <xf numFmtId="2" fontId="34" fillId="14" borderId="6" xfId="0" applyNumberFormat="1" applyFont="1" applyFill="1" applyBorder="1" applyAlignment="1">
      <alignment vertical="center"/>
    </xf>
    <xf numFmtId="2" fontId="34" fillId="14" borderId="57" xfId="0" applyNumberFormat="1" applyFont="1" applyFill="1" applyBorder="1" applyAlignment="1">
      <alignment horizontal="center" vertical="center"/>
    </xf>
    <xf numFmtId="164" fontId="34" fillId="14" borderId="6" xfId="0" applyNumberFormat="1" applyFont="1" applyFill="1" applyBorder="1" applyAlignment="1">
      <alignment horizontal="center" vertical="center"/>
    </xf>
    <xf numFmtId="164" fontId="34" fillId="14" borderId="7" xfId="0" applyNumberFormat="1" applyFont="1" applyFill="1" applyBorder="1" applyAlignment="1">
      <alignment horizontal="center" vertical="center"/>
    </xf>
    <xf numFmtId="0" fontId="34" fillId="14" borderId="219" xfId="0" applyFont="1" applyFill="1" applyBorder="1" applyAlignment="1">
      <alignment horizontal="center" vertical="center"/>
    </xf>
    <xf numFmtId="2" fontId="34" fillId="14" borderId="220" xfId="0" applyNumberFormat="1" applyFont="1" applyFill="1" applyBorder="1" applyAlignment="1">
      <alignment horizontal="center" vertical="center"/>
    </xf>
    <xf numFmtId="2" fontId="34" fillId="14" borderId="220" xfId="0" applyNumberFormat="1" applyFont="1" applyFill="1" applyBorder="1" applyAlignment="1">
      <alignment horizontal="center" vertical="center"/>
    </xf>
    <xf numFmtId="2" fontId="34" fillId="14" borderId="221" xfId="0" applyNumberFormat="1" applyFont="1" applyFill="1" applyBorder="1" applyAlignment="1">
      <alignment horizontal="center" vertical="center"/>
    </xf>
    <xf numFmtId="0" fontId="34" fillId="14" borderId="220" xfId="0" applyFont="1" applyFill="1" applyBorder="1" applyAlignment="1">
      <alignment horizontal="center" vertical="center"/>
    </xf>
    <xf numFmtId="0" fontId="34" fillId="14" borderId="222" xfId="0" applyFont="1" applyFill="1" applyBorder="1" applyAlignment="1">
      <alignment horizontal="center" vertical="center"/>
    </xf>
    <xf numFmtId="1" fontId="34" fillId="14" borderId="220" xfId="0" applyNumberFormat="1" applyFont="1" applyFill="1" applyBorder="1" applyAlignment="1">
      <alignment horizontal="center" vertical="center"/>
    </xf>
    <xf numFmtId="164" fontId="34" fillId="14" borderId="220" xfId="0" applyNumberFormat="1" applyFont="1" applyFill="1" applyBorder="1" applyAlignment="1">
      <alignment horizontal="center" vertical="center"/>
    </xf>
    <xf numFmtId="1" fontId="34" fillId="14" borderId="221" xfId="0" applyNumberFormat="1" applyFont="1" applyFill="1" applyBorder="1" applyAlignment="1">
      <alignment horizontal="center" vertical="center"/>
    </xf>
    <xf numFmtId="0" fontId="43" fillId="14" borderId="223" xfId="0" applyFont="1" applyFill="1" applyBorder="1" applyAlignment="1">
      <alignment horizontal="left" vertical="center"/>
    </xf>
    <xf numFmtId="0" fontId="34" fillId="14" borderId="223" xfId="0" applyFont="1" applyFill="1" applyBorder="1" applyAlignment="1">
      <alignment horizontal="center" vertical="center"/>
    </xf>
    <xf numFmtId="2" fontId="34" fillId="14" borderId="223" xfId="0" applyNumberFormat="1" applyFont="1" applyFill="1" applyBorder="1" applyAlignment="1">
      <alignment horizontal="center" vertical="center"/>
    </xf>
    <xf numFmtId="0" fontId="44" fillId="14" borderId="223" xfId="0" applyFont="1" applyFill="1" applyBorder="1" applyAlignment="1">
      <alignment horizontal="left" vertical="center"/>
    </xf>
    <xf numFmtId="1" fontId="34" fillId="14" borderId="223" xfId="0" applyNumberFormat="1" applyFont="1" applyFill="1" applyBorder="1" applyAlignment="1">
      <alignment horizontal="center" vertical="center"/>
    </xf>
    <xf numFmtId="0" fontId="34" fillId="14" borderId="223" xfId="0" applyFont="1" applyFill="1" applyBorder="1" applyAlignment="1">
      <alignment horizontal="center"/>
    </xf>
    <xf numFmtId="164" fontId="34" fillId="14" borderId="223" xfId="0" applyNumberFormat="1" applyFont="1" applyFill="1" applyBorder="1" applyAlignment="1">
      <alignment horizontal="center" vertical="center"/>
    </xf>
    <xf numFmtId="0" fontId="34" fillId="14" borderId="166" xfId="0" applyFont="1" applyFill="1" applyBorder="1" applyAlignment="1">
      <alignment horizontal="center" vertical="center"/>
    </xf>
    <xf numFmtId="0" fontId="34" fillId="14" borderId="174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center" vertical="center"/>
    </xf>
    <xf numFmtId="2" fontId="34" fillId="14" borderId="0" xfId="0" applyNumberFormat="1" applyFont="1" applyFill="1" applyBorder="1" applyAlignment="1">
      <alignment horizontal="center" vertical="center"/>
    </xf>
    <xf numFmtId="2" fontId="34" fillId="14" borderId="175" xfId="0" applyNumberFormat="1" applyFont="1" applyFill="1" applyBorder="1" applyAlignment="1">
      <alignment horizontal="center" vertical="center"/>
    </xf>
    <xf numFmtId="1" fontId="34" fillId="14" borderId="0" xfId="0" applyNumberFormat="1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center"/>
    </xf>
    <xf numFmtId="164" fontId="34" fillId="14" borderId="0" xfId="0" applyNumberFormat="1" applyFont="1" applyFill="1" applyBorder="1" applyAlignment="1">
      <alignment horizontal="center" vertical="center"/>
    </xf>
    <xf numFmtId="1" fontId="34" fillId="14" borderId="175" xfId="0" applyNumberFormat="1" applyFont="1" applyFill="1" applyBorder="1" applyAlignment="1">
      <alignment horizontal="center" vertical="center"/>
    </xf>
    <xf numFmtId="0" fontId="34" fillId="14" borderId="224" xfId="0" applyFont="1" applyFill="1" applyBorder="1" applyAlignment="1">
      <alignment horizontal="center" vertical="center"/>
    </xf>
    <xf numFmtId="0" fontId="34" fillId="14" borderId="51" xfId="0" applyFont="1" applyFill="1" applyBorder="1" applyAlignment="1">
      <alignment horizontal="center" vertical="center"/>
    </xf>
    <xf numFmtId="0" fontId="34" fillId="14" borderId="225" xfId="0" applyFont="1" applyFill="1" applyBorder="1" applyAlignment="1">
      <alignment horizontal="center" vertical="center"/>
    </xf>
    <xf numFmtId="0" fontId="34" fillId="14" borderId="226" xfId="0" applyFont="1" applyFill="1" applyBorder="1" applyAlignment="1">
      <alignment horizontal="center" vertical="center"/>
    </xf>
    <xf numFmtId="2" fontId="34" fillId="14" borderId="226" xfId="0" applyNumberFormat="1" applyFont="1" applyFill="1" applyBorder="1" applyAlignment="1">
      <alignment horizontal="center" vertical="center"/>
    </xf>
    <xf numFmtId="2" fontId="34" fillId="14" borderId="227" xfId="0" applyNumberFormat="1" applyFont="1" applyFill="1" applyBorder="1" applyAlignment="1">
      <alignment horizontal="center" vertical="center"/>
    </xf>
    <xf numFmtId="0" fontId="34" fillId="14" borderId="177" xfId="0" applyFont="1" applyFill="1" applyBorder="1" applyAlignment="1">
      <alignment horizontal="center" vertical="center"/>
    </xf>
    <xf numFmtId="2" fontId="34" fillId="14" borderId="177" xfId="0" applyNumberFormat="1" applyFont="1" applyFill="1" applyBorder="1" applyAlignment="1">
      <alignment horizontal="center" vertical="center"/>
    </xf>
    <xf numFmtId="0" fontId="34" fillId="14" borderId="228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2" fontId="34" fillId="14" borderId="51" xfId="0" applyNumberFormat="1" applyFont="1" applyFill="1" applyBorder="1" applyAlignment="1">
      <alignment horizontal="center" vertical="center"/>
    </xf>
    <xf numFmtId="0" fontId="34" fillId="14" borderId="51" xfId="0" applyFont="1" applyFill="1" applyBorder="1" applyAlignment="1">
      <alignment horizontal="center" vertical="center"/>
    </xf>
    <xf numFmtId="2" fontId="34" fillId="14" borderId="229" xfId="0" applyNumberFormat="1" applyFont="1" applyFill="1" applyBorder="1" applyAlignment="1">
      <alignment horizontal="center" vertical="center"/>
    </xf>
    <xf numFmtId="0" fontId="34" fillId="14" borderId="230" xfId="0" applyFont="1" applyFill="1" applyBorder="1" applyAlignment="1">
      <alignment horizontal="center" vertical="center"/>
    </xf>
    <xf numFmtId="0" fontId="34" fillId="14" borderId="31" xfId="0" applyFont="1" applyFill="1" applyBorder="1" applyAlignment="1">
      <alignment horizontal="center" vertical="center"/>
    </xf>
    <xf numFmtId="2" fontId="34" fillId="14" borderId="28" xfId="0" applyNumberFormat="1" applyFont="1" applyFill="1" applyBorder="1" applyAlignment="1">
      <alignment horizontal="center" vertical="center"/>
    </xf>
    <xf numFmtId="2" fontId="34" fillId="14" borderId="28" xfId="0" applyNumberFormat="1" applyFont="1" applyFill="1" applyBorder="1" applyAlignment="1">
      <alignment horizontal="center" vertical="center"/>
    </xf>
    <xf numFmtId="2" fontId="34" fillId="14" borderId="231" xfId="0" applyNumberFormat="1" applyFont="1" applyFill="1" applyBorder="1" applyAlignment="1">
      <alignment horizontal="center" vertical="center"/>
    </xf>
    <xf numFmtId="0" fontId="43" fillId="14" borderId="232" xfId="0" applyFont="1" applyFill="1" applyBorder="1" applyAlignment="1">
      <alignment horizontal="left" vertical="center"/>
    </xf>
    <xf numFmtId="0" fontId="34" fillId="14" borderId="233" xfId="0" applyFont="1" applyFill="1" applyBorder="1" applyAlignment="1">
      <alignment horizontal="center" vertical="center"/>
    </xf>
    <xf numFmtId="2" fontId="34" fillId="14" borderId="233" xfId="0" applyNumberFormat="1" applyFont="1" applyFill="1" applyBorder="1" applyAlignment="1">
      <alignment horizontal="center" vertical="center"/>
    </xf>
    <xf numFmtId="2" fontId="34" fillId="14" borderId="234" xfId="0" applyNumberFormat="1" applyFont="1" applyFill="1" applyBorder="1" applyAlignment="1">
      <alignment horizontal="center" vertical="center"/>
    </xf>
    <xf numFmtId="2" fontId="34" fillId="14" borderId="235" xfId="0" applyNumberFormat="1" applyFont="1" applyFill="1" applyBorder="1" applyAlignment="1">
      <alignment horizontal="center" vertical="center"/>
    </xf>
    <xf numFmtId="0" fontId="34" fillId="14" borderId="0" xfId="0" applyFont="1" applyFill="1" applyAlignment="1">
      <alignment horizontal="center"/>
    </xf>
    <xf numFmtId="164" fontId="34" fillId="14" borderId="0" xfId="0" applyNumberFormat="1" applyFont="1" applyFill="1" applyAlignment="1">
      <alignment horizontal="center" vertical="center"/>
    </xf>
    <xf numFmtId="0" fontId="34" fillId="14" borderId="236" xfId="0" applyFont="1" applyFill="1" applyBorder="1" applyAlignment="1">
      <alignment horizontal="center" vertical="center"/>
    </xf>
    <xf numFmtId="2" fontId="34" fillId="14" borderId="236" xfId="0" applyNumberFormat="1" applyFont="1" applyFill="1" applyBorder="1" applyAlignment="1">
      <alignment horizontal="center" vertical="center"/>
    </xf>
    <xf numFmtId="2" fontId="34" fillId="14" borderId="237" xfId="0" applyNumberFormat="1" applyFont="1" applyFill="1" applyBorder="1" applyAlignment="1">
      <alignment horizontal="center" vertical="center"/>
    </xf>
    <xf numFmtId="0" fontId="34" fillId="14" borderId="238" xfId="0" applyFont="1" applyFill="1" applyBorder="1" applyAlignment="1">
      <alignment horizontal="center" vertical="center"/>
    </xf>
    <xf numFmtId="2" fontId="34" fillId="14" borderId="210" xfId="0" applyNumberFormat="1" applyFont="1" applyFill="1" applyBorder="1" applyAlignment="1">
      <alignment horizontal="center" vertical="center"/>
    </xf>
    <xf numFmtId="2" fontId="34" fillId="14" borderId="211" xfId="0" applyNumberFormat="1" applyFont="1" applyFill="1" applyBorder="1" applyAlignment="1">
      <alignment horizontal="center" vertical="center"/>
    </xf>
    <xf numFmtId="2" fontId="34" fillId="14" borderId="224" xfId="0" applyNumberFormat="1" applyFont="1" applyFill="1" applyBorder="1" applyAlignment="1">
      <alignment horizontal="center" vertical="center"/>
    </xf>
    <xf numFmtId="2" fontId="34" fillId="14" borderId="206" xfId="0" applyNumberFormat="1" applyFont="1" applyFill="1" applyBorder="1" applyAlignment="1">
      <alignment horizontal="center" vertical="center"/>
    </xf>
    <xf numFmtId="2" fontId="34" fillId="14" borderId="239" xfId="0" applyNumberFormat="1" applyFont="1" applyFill="1" applyBorder="1" applyAlignment="1">
      <alignment horizontal="center" vertical="center"/>
    </xf>
    <xf numFmtId="0" fontId="34" fillId="14" borderId="218" xfId="0" applyFont="1" applyFill="1" applyBorder="1" applyAlignment="1">
      <alignment horizontal="center" vertical="center"/>
    </xf>
    <xf numFmtId="2" fontId="34" fillId="14" borderId="2" xfId="0" applyNumberFormat="1" applyFont="1" applyFill="1" applyBorder="1" applyAlignment="1">
      <alignment horizontal="center" vertical="center"/>
    </xf>
    <xf numFmtId="2" fontId="34" fillId="14" borderId="240" xfId="0" applyNumberFormat="1" applyFont="1" applyFill="1" applyBorder="1" applyAlignment="1">
      <alignment horizontal="center" vertical="center"/>
    </xf>
    <xf numFmtId="2" fontId="34" fillId="14" borderId="216" xfId="0" applyNumberFormat="1" applyFont="1" applyFill="1" applyBorder="1" applyAlignment="1">
      <alignment horizontal="center" vertical="center"/>
    </xf>
    <xf numFmtId="2" fontId="34" fillId="14" borderId="222" xfId="0" applyNumberFormat="1" applyFont="1" applyFill="1" applyBorder="1" applyAlignment="1">
      <alignment horizontal="center" vertical="center"/>
    </xf>
    <xf numFmtId="2" fontId="34" fillId="14" borderId="217" xfId="0" applyNumberFormat="1" applyFont="1" applyFill="1" applyBorder="1" applyAlignment="1">
      <alignment horizontal="center" vertical="center"/>
    </xf>
    <xf numFmtId="2" fontId="34" fillId="14" borderId="216" xfId="0" applyNumberFormat="1" applyFont="1" applyFill="1" applyBorder="1" applyAlignment="1">
      <alignment horizontal="center" vertical="center"/>
    </xf>
    <xf numFmtId="0" fontId="34" fillId="14" borderId="174" xfId="0" applyFont="1" applyFill="1" applyBorder="1" applyAlignment="1">
      <alignment horizontal="left" vertical="top"/>
    </xf>
    <xf numFmtId="0" fontId="34" fillId="14" borderId="241" xfId="0" applyFont="1" applyFill="1" applyBorder="1" applyAlignment="1">
      <alignment horizontal="center" vertical="center"/>
    </xf>
    <xf numFmtId="1" fontId="34" fillId="14" borderId="236" xfId="0" applyNumberFormat="1" applyFont="1" applyFill="1" applyBorder="1" applyAlignment="1">
      <alignment horizontal="center" vertical="center"/>
    </xf>
    <xf numFmtId="0" fontId="34" fillId="14" borderId="236" xfId="0" applyFont="1" applyFill="1" applyBorder="1" applyAlignment="1">
      <alignment horizontal="center"/>
    </xf>
    <xf numFmtId="164" fontId="34" fillId="14" borderId="236" xfId="0" applyNumberFormat="1" applyFont="1" applyFill="1" applyBorder="1" applyAlignment="1">
      <alignment horizontal="center" vertical="center"/>
    </xf>
    <xf numFmtId="1" fontId="34" fillId="14" borderId="237" xfId="0" applyNumberFormat="1" applyFont="1" applyFill="1" applyBorder="1" applyAlignment="1">
      <alignment horizontal="center" vertical="center"/>
    </xf>
    <xf numFmtId="0" fontId="34" fillId="14" borderId="242" xfId="0" applyFont="1" applyFill="1" applyBorder="1" applyAlignment="1">
      <alignment horizontal="center" vertical="center"/>
    </xf>
    <xf numFmtId="0" fontId="34" fillId="14" borderId="243" xfId="0" applyFont="1" applyFill="1" applyBorder="1" applyAlignment="1">
      <alignment horizontal="center" vertical="center"/>
    </xf>
    <xf numFmtId="1" fontId="34" fillId="14" borderId="243" xfId="0" applyNumberFormat="1" applyFont="1" applyFill="1" applyBorder="1" applyAlignment="1">
      <alignment horizontal="center" vertical="center"/>
    </xf>
    <xf numFmtId="2" fontId="34" fillId="14" borderId="243" xfId="0" applyNumberFormat="1" applyFont="1" applyFill="1" applyBorder="1" applyAlignment="1">
      <alignment horizontal="center" vertical="center"/>
    </xf>
    <xf numFmtId="0" fontId="34" fillId="14" borderId="243" xfId="0" applyFont="1" applyFill="1" applyBorder="1" applyAlignment="1">
      <alignment horizontal="center"/>
    </xf>
    <xf numFmtId="164" fontId="34" fillId="14" borderId="243" xfId="0" applyNumberFormat="1" applyFont="1" applyFill="1" applyBorder="1" applyAlignment="1">
      <alignment horizontal="center" vertical="center"/>
    </xf>
    <xf numFmtId="1" fontId="34" fillId="14" borderId="244" xfId="0" applyNumberFormat="1" applyFont="1" applyFill="1" applyBorder="1" applyAlignment="1">
      <alignment horizontal="center" vertical="center"/>
    </xf>
    <xf numFmtId="0" fontId="45" fillId="0" borderId="174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2" fontId="45" fillId="0" borderId="0" xfId="0" applyNumberFormat="1" applyFont="1" applyFill="1" applyBorder="1" applyAlignment="1">
      <alignment horizontal="center" vertical="center"/>
    </xf>
    <xf numFmtId="0" fontId="34" fillId="0" borderId="175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" fontId="34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center" vertical="center"/>
    </xf>
    <xf numFmtId="0" fontId="34" fillId="0" borderId="174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/>
    </xf>
    <xf numFmtId="0" fontId="46" fillId="14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2" fontId="34" fillId="0" borderId="0" xfId="0" applyNumberFormat="1" applyFont="1" applyFill="1" applyBorder="1" applyAlignment="1">
      <alignment horizontal="center" vertical="center"/>
    </xf>
    <xf numFmtId="0" fontId="34" fillId="0" borderId="245" xfId="0" applyFont="1" applyFill="1" applyBorder="1" applyAlignment="1">
      <alignment vertical="center"/>
    </xf>
    <xf numFmtId="0" fontId="34" fillId="0" borderId="245" xfId="0" applyFont="1" applyFill="1" applyBorder="1" applyAlignment="1">
      <alignment horizontal="center" vertical="center"/>
    </xf>
    <xf numFmtId="2" fontId="34" fillId="0" borderId="245" xfId="0" applyNumberFormat="1" applyFont="1" applyFill="1" applyBorder="1" applyAlignment="1">
      <alignment horizontal="center" vertical="center"/>
    </xf>
    <xf numFmtId="1" fontId="34" fillId="0" borderId="245" xfId="0" applyNumberFormat="1" applyFont="1" applyFill="1" applyBorder="1" applyAlignment="1">
      <alignment horizontal="center" vertical="center"/>
    </xf>
    <xf numFmtId="164" fontId="34" fillId="0" borderId="245" xfId="0" applyNumberFormat="1" applyFont="1" applyFill="1" applyBorder="1" applyAlignment="1">
      <alignment horizontal="center" vertical="center"/>
    </xf>
    <xf numFmtId="2" fontId="34" fillId="14" borderId="245" xfId="0" applyNumberFormat="1" applyFont="1" applyFill="1" applyBorder="1" applyAlignment="1">
      <alignment horizontal="center" vertical="center"/>
    </xf>
    <xf numFmtId="0" fontId="34" fillId="14" borderId="245" xfId="0" applyFont="1" applyFill="1" applyBorder="1" applyAlignment="1">
      <alignment horizontal="center" vertical="center"/>
    </xf>
    <xf numFmtId="0" fontId="34" fillId="14" borderId="245" xfId="0" applyFont="1" applyFill="1" applyBorder="1" applyAlignment="1">
      <alignment horizontal="center" vertical="center"/>
    </xf>
    <xf numFmtId="2" fontId="34" fillId="14" borderId="245" xfId="0" applyNumberFormat="1" applyFont="1" applyFill="1" applyBorder="1" applyAlignment="1">
      <alignment horizontal="center" vertical="center"/>
    </xf>
    <xf numFmtId="0" fontId="34" fillId="14" borderId="245" xfId="0" applyFont="1" applyFill="1" applyBorder="1" applyAlignment="1">
      <alignment vertical="center"/>
    </xf>
    <xf numFmtId="1" fontId="34" fillId="14" borderId="245" xfId="0" applyNumberFormat="1" applyFont="1" applyFill="1" applyBorder="1" applyAlignment="1">
      <alignment horizontal="center" vertical="center"/>
    </xf>
    <xf numFmtId="164" fontId="34" fillId="14" borderId="245" xfId="0" applyNumberFormat="1" applyFont="1" applyFill="1" applyBorder="1" applyAlignment="1">
      <alignment horizontal="center" vertical="center"/>
    </xf>
    <xf numFmtId="1" fontId="34" fillId="14" borderId="245" xfId="0" applyNumberFormat="1" applyFont="1" applyFill="1" applyBorder="1" applyAlignment="1">
      <alignment horizontal="center" vertical="center"/>
    </xf>
    <xf numFmtId="164" fontId="34" fillId="14" borderId="245" xfId="0" applyNumberFormat="1" applyFont="1" applyFill="1" applyBorder="1" applyAlignment="1">
      <alignment vertical="center"/>
    </xf>
    <xf numFmtId="164" fontId="34" fillId="14" borderId="245" xfId="0" applyNumberFormat="1" applyFont="1" applyFill="1" applyBorder="1" applyAlignment="1">
      <alignment horizontal="center" vertical="center"/>
    </xf>
    <xf numFmtId="0" fontId="43" fillId="14" borderId="245" xfId="0" applyFont="1" applyFill="1" applyBorder="1" applyAlignment="1">
      <alignment vertical="center"/>
    </xf>
    <xf numFmtId="0" fontId="44" fillId="14" borderId="245" xfId="0" applyFont="1" applyFill="1" applyBorder="1" applyAlignment="1">
      <alignment horizontal="left" vertical="center"/>
    </xf>
    <xf numFmtId="0" fontId="44" fillId="14" borderId="245" xfId="0" applyFont="1" applyFill="1" applyBorder="1" applyAlignment="1">
      <alignment vertical="center"/>
    </xf>
    <xf numFmtId="0" fontId="45" fillId="14" borderId="245" xfId="0" applyFont="1" applyFill="1" applyBorder="1" applyAlignment="1">
      <alignment vertical="center"/>
    </xf>
    <xf numFmtId="0" fontId="45" fillId="14" borderId="245" xfId="0" applyFont="1" applyFill="1" applyBorder="1" applyAlignment="1">
      <alignment horizontal="center" vertical="center"/>
    </xf>
    <xf numFmtId="2" fontId="45" fillId="14" borderId="245" xfId="0" applyNumberFormat="1" applyFont="1" applyFill="1" applyBorder="1" applyAlignment="1">
      <alignment horizontal="center" vertical="center"/>
    </xf>
    <xf numFmtId="0" fontId="34" fillId="14" borderId="245" xfId="0" applyFont="1" applyFill="1" applyBorder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4" fillId="14" borderId="0" xfId="0" applyFont="1" applyFill="1"/>
    <xf numFmtId="2" fontId="34" fillId="14" borderId="57" xfId="0" applyNumberFormat="1" applyFont="1" applyFill="1" applyBorder="1" applyAlignment="1">
      <alignment horizontal="center"/>
    </xf>
    <xf numFmtId="2" fontId="34" fillId="14" borderId="57" xfId="0" applyNumberFormat="1" applyFont="1" applyFill="1" applyBorder="1" applyAlignment="1">
      <alignment horizontal="center"/>
    </xf>
    <xf numFmtId="164" fontId="34" fillId="14" borderId="57" xfId="0" applyNumberFormat="1" applyFont="1" applyFill="1" applyBorder="1" applyAlignment="1">
      <alignment horizontal="center" vertical="center"/>
    </xf>
    <xf numFmtId="0" fontId="44" fillId="14" borderId="57" xfId="0" applyFont="1" applyFill="1" applyBorder="1"/>
    <xf numFmtId="0" fontId="43" fillId="14" borderId="57" xfId="0" applyFont="1" applyFill="1" applyBorder="1"/>
    <xf numFmtId="2" fontId="44" fillId="14" borderId="57" xfId="0" applyNumberFormat="1" applyFont="1" applyFill="1" applyBorder="1" applyAlignment="1">
      <alignment horizontal="center" vertical="center"/>
    </xf>
    <xf numFmtId="2" fontId="44" fillId="14" borderId="57" xfId="0" applyNumberFormat="1" applyFont="1" applyFill="1" applyBorder="1" applyAlignment="1">
      <alignment horizontal="left" vertical="center"/>
    </xf>
    <xf numFmtId="0" fontId="34" fillId="14" borderId="57" xfId="0" applyFont="1" applyFill="1" applyBorder="1"/>
    <xf numFmtId="0" fontId="47" fillId="14" borderId="57" xfId="0" applyFont="1" applyFill="1" applyBorder="1"/>
    <xf numFmtId="2" fontId="34" fillId="14" borderId="57" xfId="0" applyNumberFormat="1" applyFont="1" applyFill="1" applyBorder="1" applyAlignment="1">
      <alignment horizontal="left" vertical="center"/>
    </xf>
    <xf numFmtId="0" fontId="47" fillId="14" borderId="57" xfId="0" applyFont="1" applyFill="1" applyBorder="1" applyAlignment="1">
      <alignment horizontal="center" vertical="center"/>
    </xf>
    <xf numFmtId="2" fontId="47" fillId="14" borderId="57" xfId="0" applyNumberFormat="1" applyFont="1" applyFill="1" applyBorder="1" applyAlignment="1">
      <alignment horizontal="center" vertical="center"/>
    </xf>
    <xf numFmtId="0" fontId="47" fillId="14" borderId="57" xfId="0" applyFont="1" applyFill="1" applyBorder="1" applyAlignment="1">
      <alignment horizontal="center"/>
    </xf>
    <xf numFmtId="2" fontId="47" fillId="14" borderId="57" xfId="0" applyNumberFormat="1" applyFont="1" applyFill="1" applyBorder="1" applyAlignment="1">
      <alignment horizontal="center"/>
    </xf>
    <xf numFmtId="1" fontId="47" fillId="14" borderId="57" xfId="0" applyNumberFormat="1" applyFont="1" applyFill="1" applyBorder="1" applyAlignment="1">
      <alignment horizontal="center" vertical="center"/>
    </xf>
    <xf numFmtId="164" fontId="47" fillId="14" borderId="57" xfId="0" applyNumberFormat="1" applyFont="1" applyFill="1" applyBorder="1" applyAlignment="1">
      <alignment horizontal="center" vertical="center"/>
    </xf>
    <xf numFmtId="0" fontId="36" fillId="14" borderId="57" xfId="0" applyFont="1" applyFill="1" applyBorder="1" applyAlignment="1">
      <alignment horizontal="center"/>
    </xf>
    <xf numFmtId="2" fontId="36" fillId="14" borderId="57" xfId="0" applyNumberFormat="1" applyFont="1" applyFill="1" applyBorder="1" applyAlignment="1">
      <alignment horizontal="center" vertical="center"/>
    </xf>
    <xf numFmtId="0" fontId="43" fillId="14" borderId="57" xfId="0" applyFont="1" applyFill="1" applyBorder="1" applyAlignment="1">
      <alignment horizontal="left"/>
    </xf>
    <xf numFmtId="2" fontId="34" fillId="14" borderId="0" xfId="0" applyNumberFormat="1" applyFont="1" applyFill="1" applyBorder="1" applyAlignment="1">
      <alignment horizontal="center"/>
    </xf>
    <xf numFmtId="0" fontId="34" fillId="14" borderId="246" xfId="0" applyFont="1" applyFill="1" applyBorder="1" applyAlignment="1">
      <alignment horizontal="center"/>
    </xf>
    <xf numFmtId="0" fontId="34" fillId="14" borderId="247" xfId="0" applyFont="1" applyFill="1" applyBorder="1" applyAlignment="1">
      <alignment horizontal="center"/>
    </xf>
    <xf numFmtId="2" fontId="34" fillId="14" borderId="247" xfId="0" applyNumberFormat="1" applyFont="1" applyFill="1" applyBorder="1" applyAlignment="1">
      <alignment horizontal="center" vertical="center"/>
    </xf>
    <xf numFmtId="2" fontId="34" fillId="14" borderId="248" xfId="0" applyNumberFormat="1" applyFont="1" applyFill="1" applyBorder="1" applyAlignment="1">
      <alignment horizontal="center" vertical="center"/>
    </xf>
    <xf numFmtId="0" fontId="34" fillId="14" borderId="249" xfId="0" applyFont="1" applyFill="1" applyBorder="1" applyAlignment="1">
      <alignment horizontal="center"/>
    </xf>
    <xf numFmtId="0" fontId="34" fillId="14" borderId="250" xfId="0" applyFont="1" applyFill="1" applyBorder="1" applyAlignment="1">
      <alignment horizontal="center"/>
    </xf>
    <xf numFmtId="2" fontId="34" fillId="14" borderId="250" xfId="0" applyNumberFormat="1" applyFont="1" applyFill="1" applyBorder="1" applyAlignment="1">
      <alignment horizontal="center" vertical="center"/>
    </xf>
    <xf numFmtId="2" fontId="34" fillId="14" borderId="251" xfId="0" applyNumberFormat="1" applyFont="1" applyFill="1" applyBorder="1" applyAlignment="1">
      <alignment horizontal="center" vertical="center"/>
    </xf>
    <xf numFmtId="0" fontId="5" fillId="0" borderId="0" xfId="26" applyFont="1" applyAlignment="1">
      <alignment horizontal="left"/>
    </xf>
    <xf numFmtId="0" fontId="5" fillId="0" borderId="0" xfId="26" applyFont="1"/>
    <xf numFmtId="164" fontId="6" fillId="0" borderId="0" xfId="26" applyNumberFormat="1" applyFont="1" applyFill="1" applyAlignment="1">
      <alignment vertical="center"/>
    </xf>
    <xf numFmtId="0" fontId="7" fillId="0" borderId="0" xfId="26" applyFont="1"/>
    <xf numFmtId="1" fontId="7" fillId="0" borderId="0" xfId="26" applyNumberFormat="1" applyFont="1"/>
    <xf numFmtId="0" fontId="7" fillId="0" borderId="0" xfId="26" applyFont="1" applyFill="1"/>
    <xf numFmtId="1" fontId="7" fillId="0" borderId="0" xfId="26" applyNumberFormat="1" applyFont="1" applyFill="1"/>
    <xf numFmtId="0" fontId="6" fillId="0" borderId="0" xfId="26" applyFont="1"/>
    <xf numFmtId="0" fontId="48" fillId="0" borderId="0" xfId="9" applyFont="1" applyAlignment="1"/>
    <xf numFmtId="164" fontId="7" fillId="0" borderId="0" xfId="26" applyNumberFormat="1" applyFont="1" applyFill="1" applyAlignment="1">
      <alignment vertical="center"/>
    </xf>
    <xf numFmtId="0" fontId="7" fillId="14" borderId="252" xfId="26" applyFont="1" applyFill="1" applyBorder="1" applyAlignment="1">
      <alignment horizontal="center" vertical="center" wrapText="1"/>
    </xf>
    <xf numFmtId="0" fontId="7" fillId="14" borderId="92" xfId="26" applyFont="1" applyFill="1" applyBorder="1" applyAlignment="1">
      <alignment horizontal="center" vertical="center" wrapText="1"/>
    </xf>
    <xf numFmtId="164" fontId="7" fillId="14" borderId="253" xfId="26" applyNumberFormat="1" applyFont="1" applyFill="1" applyBorder="1" applyAlignment="1">
      <alignment horizontal="center" vertical="center" wrapText="1"/>
    </xf>
    <xf numFmtId="164" fontId="7" fillId="14" borderId="98" xfId="26" applyNumberFormat="1" applyFont="1" applyFill="1" applyBorder="1" applyAlignment="1">
      <alignment horizontal="center" vertical="center" wrapText="1"/>
    </xf>
    <xf numFmtId="164" fontId="7" fillId="14" borderId="156" xfId="26" applyNumberFormat="1" applyFont="1" applyFill="1" applyBorder="1" applyAlignment="1">
      <alignment horizontal="center" vertical="center" wrapText="1"/>
    </xf>
    <xf numFmtId="1" fontId="7" fillId="14" borderId="92" xfId="26" applyNumberFormat="1" applyFont="1" applyFill="1" applyBorder="1" applyAlignment="1">
      <alignment horizontal="center" vertical="center" wrapText="1"/>
    </xf>
    <xf numFmtId="41" fontId="7" fillId="14" borderId="92" xfId="7" applyFont="1" applyFill="1" applyBorder="1" applyAlignment="1">
      <alignment horizontal="center" vertical="center" wrapText="1"/>
    </xf>
    <xf numFmtId="4" fontId="49" fillId="14" borderId="92" xfId="26" applyNumberFormat="1" applyFont="1" applyFill="1" applyBorder="1" applyAlignment="1">
      <alignment horizontal="center" vertical="center" wrapText="1"/>
    </xf>
    <xf numFmtId="4" fontId="49" fillId="14" borderId="24" xfId="26" applyNumberFormat="1" applyFont="1" applyFill="1" applyBorder="1" applyAlignment="1">
      <alignment horizontal="center" vertical="center" wrapText="1"/>
    </xf>
    <xf numFmtId="4" fontId="7" fillId="14" borderId="222" xfId="26" applyNumberFormat="1" applyFont="1" applyFill="1" applyBorder="1" applyAlignment="1">
      <alignment horizontal="center"/>
    </xf>
    <xf numFmtId="4" fontId="7" fillId="14" borderId="254" xfId="26" applyNumberFormat="1" applyFont="1" applyFill="1" applyBorder="1" applyAlignment="1">
      <alignment horizontal="center"/>
    </xf>
    <xf numFmtId="0" fontId="20" fillId="14" borderId="61" xfId="26" applyFont="1" applyFill="1" applyBorder="1" applyAlignment="1"/>
    <xf numFmtId="0" fontId="20" fillId="14" borderId="25" xfId="26" applyFont="1" applyFill="1" applyBorder="1" applyAlignment="1"/>
    <xf numFmtId="0" fontId="20" fillId="14" borderId="255" xfId="26" applyFont="1" applyFill="1" applyBorder="1" applyAlignment="1"/>
    <xf numFmtId="166" fontId="49" fillId="14" borderId="256" xfId="7" applyNumberFormat="1" applyFont="1" applyFill="1" applyBorder="1" applyAlignment="1">
      <alignment horizontal="center"/>
    </xf>
    <xf numFmtId="166" fontId="49" fillId="14" borderId="25" xfId="7" applyNumberFormat="1" applyFont="1" applyFill="1" applyBorder="1" applyAlignment="1">
      <alignment horizontal="center"/>
    </xf>
    <xf numFmtId="166" fontId="49" fillId="14" borderId="26" xfId="7" applyNumberFormat="1" applyFont="1" applyFill="1" applyBorder="1" applyAlignment="1">
      <alignment horizontal="center"/>
    </xf>
    <xf numFmtId="0" fontId="7" fillId="14" borderId="32" xfId="26" applyFont="1" applyFill="1" applyBorder="1" applyAlignment="1">
      <alignment horizontal="center" vertical="center" wrapText="1"/>
    </xf>
    <xf numFmtId="0" fontId="7" fillId="14" borderId="2" xfId="26" applyFont="1" applyFill="1" applyBorder="1" applyAlignment="1">
      <alignment horizontal="center" vertical="center" wrapText="1"/>
    </xf>
    <xf numFmtId="164" fontId="7" fillId="14" borderId="6" xfId="26" applyNumberFormat="1" applyFont="1" applyFill="1" applyBorder="1" applyAlignment="1">
      <alignment horizontal="center" vertical="center" wrapText="1"/>
    </xf>
    <xf numFmtId="164" fontId="7" fillId="14" borderId="166" xfId="26" applyNumberFormat="1" applyFont="1" applyFill="1" applyBorder="1" applyAlignment="1">
      <alignment horizontal="center" vertical="center" wrapText="1"/>
    </xf>
    <xf numFmtId="164" fontId="7" fillId="14" borderId="7" xfId="26" applyNumberFormat="1" applyFont="1" applyFill="1" applyBorder="1" applyAlignment="1">
      <alignment horizontal="center" vertical="center" wrapText="1"/>
    </xf>
    <xf numFmtId="1" fontId="7" fillId="14" borderId="2" xfId="26" applyNumberFormat="1" applyFont="1" applyFill="1" applyBorder="1" applyAlignment="1">
      <alignment horizontal="center" vertical="center" wrapText="1"/>
    </xf>
    <xf numFmtId="41" fontId="7" fillId="14" borderId="2" xfId="7" applyFont="1" applyFill="1" applyBorder="1" applyAlignment="1">
      <alignment horizontal="center" vertical="center" wrapText="1"/>
    </xf>
    <xf numFmtId="4" fontId="49" fillId="14" borderId="2" xfId="26" applyNumberFormat="1" applyFont="1" applyFill="1" applyBorder="1" applyAlignment="1">
      <alignment horizontal="center" vertical="center" wrapText="1"/>
    </xf>
    <xf numFmtId="4" fontId="49" fillId="14" borderId="58" xfId="26" applyNumberFormat="1" applyFont="1" applyFill="1" applyBorder="1" applyAlignment="1">
      <alignment horizontal="center" vertical="center" wrapText="1"/>
    </xf>
    <xf numFmtId="4" fontId="7" fillId="14" borderId="0" xfId="26" applyNumberFormat="1" applyFont="1" applyFill="1" applyBorder="1" applyAlignment="1">
      <alignment horizontal="center"/>
    </xf>
    <xf numFmtId="4" fontId="7" fillId="14" borderId="257" xfId="26" applyNumberFormat="1" applyFont="1" applyFill="1" applyBorder="1" applyAlignment="1">
      <alignment horizontal="center"/>
    </xf>
    <xf numFmtId="0" fontId="49" fillId="14" borderId="258" xfId="26" applyFont="1" applyFill="1" applyBorder="1" applyAlignment="1">
      <alignment horizontal="center"/>
    </xf>
    <xf numFmtId="0" fontId="49" fillId="14" borderId="166" xfId="26" applyFont="1" applyFill="1" applyBorder="1" applyAlignment="1">
      <alignment horizontal="center"/>
    </xf>
    <xf numFmtId="0" fontId="49" fillId="14" borderId="259" xfId="26" applyFont="1" applyFill="1" applyBorder="1" applyAlignment="1">
      <alignment horizontal="center"/>
    </xf>
    <xf numFmtId="0" fontId="49" fillId="14" borderId="166" xfId="26" applyFont="1" applyFill="1" applyBorder="1" applyAlignment="1">
      <alignment horizontal="center"/>
    </xf>
    <xf numFmtId="0" fontId="49" fillId="14" borderId="260" xfId="26" applyFont="1" applyFill="1" applyBorder="1" applyAlignment="1">
      <alignment horizontal="center"/>
    </xf>
    <xf numFmtId="37" fontId="7" fillId="14" borderId="218" xfId="7" applyNumberFormat="1" applyFont="1" applyFill="1" applyBorder="1" applyAlignment="1">
      <alignment horizontal="center" vertical="center" wrapText="1"/>
    </xf>
    <xf numFmtId="37" fontId="7" fillId="14" borderId="5" xfId="7" applyNumberFormat="1" applyFont="1" applyFill="1" applyBorder="1" applyAlignment="1">
      <alignment horizontal="center" vertical="center" wrapText="1"/>
    </xf>
    <xf numFmtId="37" fontId="7" fillId="14" borderId="158" xfId="7" applyNumberFormat="1" applyFont="1" applyFill="1" applyBorder="1" applyAlignment="1">
      <alignment horizontal="center" vertical="center" wrapText="1"/>
    </xf>
    <xf numFmtId="0" fontId="7" fillId="14" borderId="32" xfId="26" applyFont="1" applyFill="1" applyBorder="1" applyAlignment="1">
      <alignment vertical="center" wrapText="1"/>
    </xf>
    <xf numFmtId="0" fontId="7" fillId="14" borderId="51" xfId="26" applyFont="1" applyFill="1" applyBorder="1" applyAlignment="1">
      <alignment horizontal="center" vertical="center" wrapText="1"/>
    </xf>
    <xf numFmtId="164" fontId="7" fillId="14" borderId="2" xfId="26" applyNumberFormat="1" applyFont="1" applyFill="1" applyBorder="1" applyAlignment="1">
      <alignment horizontal="center" vertical="center" wrapText="1"/>
    </xf>
    <xf numFmtId="1" fontId="7" fillId="14" borderId="51" xfId="26" applyNumberFormat="1" applyFont="1" applyFill="1" applyBorder="1" applyAlignment="1">
      <alignment horizontal="center" vertical="center" wrapText="1"/>
    </xf>
    <xf numFmtId="41" fontId="7" fillId="14" borderId="51" xfId="7" applyFont="1" applyFill="1" applyBorder="1" applyAlignment="1">
      <alignment horizontal="center" vertical="center" wrapText="1"/>
    </xf>
    <xf numFmtId="4" fontId="7" fillId="14" borderId="166" xfId="26" applyNumberFormat="1" applyFont="1" applyFill="1" applyBorder="1" applyAlignment="1">
      <alignment horizontal="center"/>
    </xf>
    <xf numFmtId="0" fontId="7" fillId="14" borderId="50" xfId="26" applyFont="1" applyFill="1" applyBorder="1" applyAlignment="1">
      <alignment horizontal="center" vertical="center" wrapText="1"/>
    </xf>
    <xf numFmtId="0" fontId="7" fillId="14" borderId="7" xfId="26" applyFont="1" applyFill="1" applyBorder="1" applyAlignment="1">
      <alignment horizontal="center" vertical="center" wrapText="1"/>
    </xf>
    <xf numFmtId="1" fontId="7" fillId="14" borderId="57" xfId="26" applyNumberFormat="1" applyFont="1" applyFill="1" applyBorder="1" applyAlignment="1">
      <alignment horizontal="center" vertical="center"/>
    </xf>
    <xf numFmtId="166" fontId="7" fillId="14" borderId="51" xfId="7" applyNumberFormat="1" applyFont="1" applyFill="1" applyBorder="1" applyAlignment="1">
      <alignment horizontal="center" vertical="center" wrapText="1"/>
    </xf>
    <xf numFmtId="166" fontId="7" fillId="14" borderId="8" xfId="7" applyNumberFormat="1" applyFont="1" applyFill="1" applyBorder="1" applyAlignment="1">
      <alignment horizontal="center" vertical="center" wrapText="1"/>
    </xf>
    <xf numFmtId="166" fontId="7" fillId="14" borderId="10" xfId="7" applyNumberFormat="1" applyFont="1" applyFill="1" applyBorder="1" applyAlignment="1">
      <alignment horizontal="center" vertical="center" wrapText="1"/>
    </xf>
    <xf numFmtId="1" fontId="7" fillId="14" borderId="166" xfId="7" applyNumberFormat="1" applyFont="1" applyFill="1" applyBorder="1" applyAlignment="1">
      <alignment horizontal="center" vertical="center" wrapText="1"/>
    </xf>
    <xf numFmtId="166" fontId="7" fillId="14" borderId="229" xfId="7" applyNumberFormat="1" applyFont="1" applyFill="1" applyBorder="1" applyAlignment="1">
      <alignment horizontal="center" vertical="center" wrapText="1"/>
    </xf>
    <xf numFmtId="166" fontId="7" fillId="14" borderId="166" xfId="7" applyNumberFormat="1" applyFont="1" applyFill="1" applyBorder="1" applyAlignment="1">
      <alignment horizontal="center" vertical="center" wrapText="1"/>
    </xf>
    <xf numFmtId="0" fontId="7" fillId="14" borderId="228" xfId="26" applyFont="1" applyFill="1" applyBorder="1" applyAlignment="1">
      <alignment horizontal="center" vertical="center" wrapText="1"/>
    </xf>
    <xf numFmtId="166" fontId="7" fillId="14" borderId="228" xfId="7" applyNumberFormat="1" applyFont="1" applyFill="1" applyBorder="1" applyAlignment="1">
      <alignment horizontal="center" vertical="top"/>
    </xf>
    <xf numFmtId="166" fontId="7" fillId="14" borderId="6" xfId="7" applyNumberFormat="1" applyFont="1" applyFill="1" applyBorder="1" applyAlignment="1">
      <alignment horizontal="center" vertical="top"/>
    </xf>
    <xf numFmtId="166" fontId="7" fillId="14" borderId="52" xfId="7" applyNumberFormat="1" applyFont="1" applyFill="1" applyBorder="1" applyAlignment="1">
      <alignment horizontal="center" vertical="top"/>
    </xf>
    <xf numFmtId="0" fontId="7" fillId="14" borderId="27" xfId="26" applyFont="1" applyFill="1" applyBorder="1" applyAlignment="1">
      <alignment vertical="center" wrapText="1"/>
    </xf>
    <xf numFmtId="0" fontId="7" fillId="14" borderId="28" xfId="26" applyFont="1" applyFill="1" applyBorder="1" applyAlignment="1">
      <alignment vertical="center" wrapText="1"/>
    </xf>
    <xf numFmtId="0" fontId="7" fillId="14" borderId="28" xfId="26" applyFont="1" applyFill="1" applyBorder="1" applyAlignment="1">
      <alignment horizontal="center" vertical="center" wrapText="1"/>
    </xf>
    <xf numFmtId="164" fontId="7" fillId="14" borderId="28" xfId="26" applyNumberFormat="1" applyFont="1" applyFill="1" applyBorder="1" applyAlignment="1">
      <alignment horizontal="center" vertical="center" wrapText="1"/>
    </xf>
    <xf numFmtId="1" fontId="7" fillId="14" borderId="31" xfId="26" applyNumberFormat="1" applyFont="1" applyFill="1" applyBorder="1" applyAlignment="1">
      <alignment horizontal="center" vertical="center" wrapText="1"/>
    </xf>
    <xf numFmtId="41" fontId="7" fillId="14" borderId="28" xfId="7" applyFont="1" applyFill="1" applyBorder="1" applyAlignment="1">
      <alignment horizontal="center" vertical="center" wrapText="1"/>
    </xf>
    <xf numFmtId="4" fontId="49" fillId="14" borderId="28" xfId="26" applyNumberFormat="1" applyFont="1" applyFill="1" applyBorder="1" applyAlignment="1">
      <alignment horizontal="center" vertical="center" wrapText="1"/>
    </xf>
    <xf numFmtId="4" fontId="50" fillId="14" borderId="29" xfId="26" applyNumberFormat="1" applyFont="1" applyFill="1" applyBorder="1" applyAlignment="1">
      <alignment horizontal="center" vertical="center" wrapText="1"/>
    </xf>
    <xf numFmtId="4" fontId="7" fillId="14" borderId="9" xfId="26" applyNumberFormat="1" applyFont="1" applyFill="1" applyBorder="1"/>
    <xf numFmtId="4" fontId="7" fillId="14" borderId="170" xfId="26" applyNumberFormat="1" applyFont="1" applyFill="1" applyBorder="1" applyAlignment="1"/>
    <xf numFmtId="0" fontId="7" fillId="14" borderId="27" xfId="26" applyFont="1" applyFill="1" applyBorder="1"/>
    <xf numFmtId="0" fontId="7" fillId="14" borderId="60" xfId="26" applyFont="1" applyFill="1" applyBorder="1"/>
    <xf numFmtId="1" fontId="7" fillId="14" borderId="28" xfId="26" applyNumberFormat="1" applyFont="1" applyFill="1" applyBorder="1"/>
    <xf numFmtId="166" fontId="7" fillId="14" borderId="28" xfId="7" applyNumberFormat="1" applyFont="1" applyFill="1" applyBorder="1"/>
    <xf numFmtId="166" fontId="7" fillId="14" borderId="67" xfId="7" applyNumberFormat="1" applyFont="1" applyFill="1" applyBorder="1" applyAlignment="1">
      <alignment horizontal="center"/>
    </xf>
    <xf numFmtId="166" fontId="7" fillId="14" borderId="60" xfId="7" applyNumberFormat="1" applyFont="1" applyFill="1" applyBorder="1" applyAlignment="1">
      <alignment horizontal="center"/>
    </xf>
    <xf numFmtId="1" fontId="7" fillId="14" borderId="68" xfId="7" applyNumberFormat="1" applyFont="1" applyFill="1" applyBorder="1" applyAlignment="1">
      <alignment horizontal="center"/>
    </xf>
    <xf numFmtId="166" fontId="7" fillId="14" borderId="67" xfId="7" applyNumberFormat="1" applyFont="1" applyFill="1" applyBorder="1"/>
    <xf numFmtId="4" fontId="7" fillId="14" borderId="28" xfId="26" applyNumberFormat="1" applyFont="1" applyFill="1" applyBorder="1" applyAlignment="1"/>
    <xf numFmtId="166" fontId="7" fillId="14" borderId="231" xfId="7" applyNumberFormat="1" applyFont="1" applyFill="1" applyBorder="1"/>
    <xf numFmtId="176" fontId="51" fillId="14" borderId="230" xfId="7" applyNumberFormat="1" applyFont="1" applyFill="1" applyBorder="1" applyAlignment="1">
      <alignment horizontal="right"/>
    </xf>
    <xf numFmtId="176" fontId="51" fillId="14" borderId="67" xfId="7" applyNumberFormat="1" applyFont="1" applyFill="1" applyBorder="1"/>
    <xf numFmtId="176" fontId="51" fillId="14" borderId="29" xfId="7" applyNumberFormat="1" applyFont="1" applyFill="1" applyBorder="1"/>
    <xf numFmtId="0" fontId="7" fillId="14" borderId="149" xfId="26" applyFont="1" applyFill="1" applyBorder="1" applyAlignment="1">
      <alignment vertical="center" wrapText="1"/>
    </xf>
    <xf numFmtId="0" fontId="7" fillId="14" borderId="0" xfId="26" applyFont="1" applyFill="1" applyBorder="1" applyAlignment="1">
      <alignment vertical="center" wrapText="1"/>
    </xf>
    <xf numFmtId="0" fontId="20" fillId="14" borderId="0" xfId="26" applyFont="1" applyFill="1" applyBorder="1" applyAlignment="1">
      <alignment horizontal="left"/>
    </xf>
    <xf numFmtId="164" fontId="7" fillId="14" borderId="0" xfId="26" applyNumberFormat="1" applyFont="1" applyFill="1" applyBorder="1" applyAlignment="1">
      <alignment horizontal="center" vertical="center"/>
    </xf>
    <xf numFmtId="0" fontId="7" fillId="14" borderId="0" xfId="26" applyFont="1" applyFill="1" applyBorder="1" applyAlignment="1">
      <alignment horizontal="center" wrapText="1"/>
    </xf>
    <xf numFmtId="1" fontId="7" fillId="14" borderId="0" xfId="26" applyNumberFormat="1" applyFont="1" applyFill="1" applyBorder="1" applyAlignment="1">
      <alignment horizontal="center"/>
    </xf>
    <xf numFmtId="41" fontId="7" fillId="14" borderId="0" xfId="7" applyFont="1" applyFill="1" applyBorder="1" applyAlignment="1">
      <alignment horizontal="center" vertical="center" wrapText="1"/>
    </xf>
    <xf numFmtId="4" fontId="7" fillId="14" borderId="0" xfId="26" applyNumberFormat="1" applyFont="1" applyFill="1" applyBorder="1" applyAlignment="1">
      <alignment horizontal="center"/>
    </xf>
    <xf numFmtId="4" fontId="7" fillId="14" borderId="150" xfId="26" applyNumberFormat="1" applyFont="1" applyFill="1" applyBorder="1" applyAlignment="1">
      <alignment horizontal="center"/>
    </xf>
    <xf numFmtId="4" fontId="7" fillId="14" borderId="222" xfId="26" applyNumberFormat="1" applyFont="1" applyFill="1" applyBorder="1"/>
    <xf numFmtId="4" fontId="7" fillId="14" borderId="0" xfId="26" applyNumberFormat="1" applyFont="1" applyFill="1" applyBorder="1"/>
    <xf numFmtId="0" fontId="7" fillId="14" borderId="149" xfId="26" applyFont="1" applyFill="1" applyBorder="1"/>
    <xf numFmtId="0" fontId="7" fillId="14" borderId="0" xfId="26" applyFont="1" applyFill="1" applyBorder="1"/>
    <xf numFmtId="1" fontId="7" fillId="14" borderId="0" xfId="26" applyNumberFormat="1" applyFont="1" applyFill="1" applyBorder="1"/>
    <xf numFmtId="166" fontId="7" fillId="14" borderId="0" xfId="7" applyNumberFormat="1" applyFont="1" applyFill="1" applyBorder="1"/>
    <xf numFmtId="1" fontId="7" fillId="14" borderId="0" xfId="7" applyNumberFormat="1" applyFont="1" applyFill="1" applyBorder="1"/>
    <xf numFmtId="166" fontId="7" fillId="14" borderId="175" xfId="7" applyNumberFormat="1" applyFont="1" applyFill="1" applyBorder="1"/>
    <xf numFmtId="0" fontId="7" fillId="14" borderId="174" xfId="26" applyFont="1" applyFill="1" applyBorder="1"/>
    <xf numFmtId="166" fontId="7" fillId="14" borderId="174" xfId="7" applyNumberFormat="1" applyFont="1" applyFill="1" applyBorder="1"/>
    <xf numFmtId="166" fontId="7" fillId="14" borderId="95" xfId="7" applyNumberFormat="1" applyFont="1" applyFill="1" applyBorder="1"/>
    <xf numFmtId="0" fontId="7" fillId="14" borderId="147" xfId="26" applyFont="1" applyFill="1" applyBorder="1"/>
    <xf numFmtId="0" fontId="7" fillId="14" borderId="15" xfId="26" applyFont="1" applyFill="1" applyBorder="1" applyAlignment="1">
      <alignment horizontal="center"/>
    </xf>
    <xf numFmtId="0" fontId="5" fillId="14" borderId="15" xfId="26" applyFont="1" applyFill="1" applyBorder="1" applyAlignment="1">
      <alignment horizontal="center"/>
    </xf>
    <xf numFmtId="164" fontId="7" fillId="14" borderId="15" xfId="26" applyNumberFormat="1" applyFont="1" applyFill="1" applyBorder="1" applyAlignment="1">
      <alignment vertical="center"/>
    </xf>
    <xf numFmtId="0" fontId="7" fillId="14" borderId="15" xfId="26" applyFont="1" applyFill="1" applyBorder="1"/>
    <xf numFmtId="1" fontId="7" fillId="14" borderId="15" xfId="7" applyNumberFormat="1" applyFont="1" applyFill="1" applyBorder="1"/>
    <xf numFmtId="41" fontId="7" fillId="14" borderId="15" xfId="7" applyFont="1" applyFill="1" applyBorder="1" applyAlignment="1">
      <alignment horizontal="center"/>
    </xf>
    <xf numFmtId="2" fontId="7" fillId="14" borderId="15" xfId="26" applyNumberFormat="1" applyFont="1" applyFill="1" applyBorder="1"/>
    <xf numFmtId="2" fontId="7" fillId="14" borderId="148" xfId="26" applyNumberFormat="1" applyFont="1" applyFill="1" applyBorder="1"/>
    <xf numFmtId="4" fontId="7" fillId="14" borderId="98" xfId="26" applyNumberFormat="1" applyFont="1" applyFill="1" applyBorder="1"/>
    <xf numFmtId="4" fontId="7" fillId="14" borderId="261" xfId="26" applyNumberFormat="1" applyFont="1" applyFill="1" applyBorder="1" applyAlignment="1">
      <alignment horizontal="center"/>
    </xf>
    <xf numFmtId="0" fontId="7" fillId="14" borderId="262" xfId="26" applyFont="1" applyFill="1" applyBorder="1"/>
    <xf numFmtId="1" fontId="7" fillId="14" borderId="15" xfId="26" applyNumberFormat="1" applyFont="1" applyFill="1" applyBorder="1"/>
    <xf numFmtId="166" fontId="7" fillId="14" borderId="15" xfId="7" applyNumberFormat="1" applyFont="1" applyFill="1" applyBorder="1"/>
    <xf numFmtId="1" fontId="7" fillId="14" borderId="261" xfId="7" applyNumberFormat="1" applyFont="1" applyFill="1" applyBorder="1"/>
    <xf numFmtId="166" fontId="7" fillId="14" borderId="263" xfId="7" applyNumberFormat="1" applyFont="1" applyFill="1" applyBorder="1"/>
    <xf numFmtId="4" fontId="7" fillId="14" borderId="264" xfId="26" applyNumberFormat="1" applyFont="1" applyFill="1" applyBorder="1" applyAlignment="1">
      <alignment horizontal="center"/>
    </xf>
    <xf numFmtId="0" fontId="7" fillId="14" borderId="265" xfId="26" applyFont="1" applyFill="1" applyBorder="1"/>
    <xf numFmtId="166" fontId="7" fillId="14" borderId="266" xfId="7" applyNumberFormat="1" applyFont="1" applyFill="1" applyBorder="1"/>
    <xf numFmtId="166" fontId="7" fillId="14" borderId="267" xfId="7" applyNumberFormat="1" applyFont="1" applyFill="1" applyBorder="1"/>
    <xf numFmtId="166" fontId="7" fillId="14" borderId="261" xfId="7" applyNumberFormat="1" applyFont="1" applyFill="1" applyBorder="1"/>
    <xf numFmtId="166" fontId="7" fillId="14" borderId="148" xfId="7" applyNumberFormat="1" applyFont="1" applyFill="1" applyBorder="1"/>
    <xf numFmtId="0" fontId="7" fillId="14" borderId="34" xfId="26" applyFont="1" applyFill="1" applyBorder="1"/>
    <xf numFmtId="0" fontId="7" fillId="14" borderId="142" xfId="26" applyFont="1" applyFill="1" applyBorder="1" applyAlignment="1">
      <alignment horizontal="center"/>
    </xf>
    <xf numFmtId="0" fontId="5" fillId="14" borderId="142" xfId="26" applyFont="1" applyFill="1" applyBorder="1" applyAlignment="1">
      <alignment horizontal="center"/>
    </xf>
    <xf numFmtId="164" fontId="7" fillId="14" borderId="142" xfId="26" applyNumberFormat="1" applyFont="1" applyFill="1" applyBorder="1" applyAlignment="1">
      <alignment vertical="center"/>
    </xf>
    <xf numFmtId="0" fontId="7" fillId="14" borderId="4" xfId="26" applyFont="1" applyFill="1" applyBorder="1"/>
    <xf numFmtId="1" fontId="7" fillId="14" borderId="142" xfId="7" applyNumberFormat="1" applyFont="1" applyFill="1" applyBorder="1"/>
    <xf numFmtId="41" fontId="7" fillId="14" borderId="142" xfId="7" applyFont="1" applyFill="1" applyBorder="1" applyAlignment="1">
      <alignment horizontal="center"/>
    </xf>
    <xf numFmtId="2" fontId="7" fillId="14" borderId="142" xfId="26" applyNumberFormat="1" applyFont="1" applyFill="1" applyBorder="1"/>
    <xf numFmtId="2" fontId="7" fillId="14" borderId="143" xfId="26" applyNumberFormat="1" applyFont="1" applyFill="1" applyBorder="1"/>
    <xf numFmtId="4" fontId="7" fillId="14" borderId="100" xfId="26" applyNumberFormat="1" applyFont="1" applyFill="1" applyBorder="1" applyAlignment="1">
      <alignment horizontal="center"/>
    </xf>
    <xf numFmtId="0" fontId="7" fillId="14" borderId="139" xfId="26" applyFont="1" applyFill="1" applyBorder="1"/>
    <xf numFmtId="0" fontId="7" fillId="14" borderId="141" xfId="26" applyFont="1" applyFill="1" applyBorder="1"/>
    <xf numFmtId="1" fontId="7" fillId="14" borderId="142" xfId="26" applyNumberFormat="1" applyFont="1" applyFill="1" applyBorder="1"/>
    <xf numFmtId="166" fontId="7" fillId="14" borderId="142" xfId="7" applyNumberFormat="1" applyFont="1" applyFill="1" applyBorder="1"/>
    <xf numFmtId="1" fontId="7" fillId="14" borderId="99" xfId="7" applyNumberFormat="1" applyFont="1" applyFill="1" applyBorder="1"/>
    <xf numFmtId="4" fontId="7" fillId="14" borderId="268" xfId="26" applyNumberFormat="1" applyFont="1" applyFill="1" applyBorder="1" applyAlignment="1">
      <alignment horizontal="center"/>
    </xf>
    <xf numFmtId="0" fontId="7" fillId="14" borderId="269" xfId="26" applyFont="1" applyFill="1" applyBorder="1"/>
    <xf numFmtId="166" fontId="7" fillId="14" borderId="4" xfId="7" applyNumberFormat="1" applyFont="1" applyFill="1" applyBorder="1"/>
    <xf numFmtId="166" fontId="7" fillId="14" borderId="179" xfId="7" applyNumberFormat="1" applyFont="1" applyFill="1" applyBorder="1"/>
    <xf numFmtId="166" fontId="7" fillId="14" borderId="99" xfId="7" applyNumberFormat="1" applyFont="1" applyFill="1" applyBorder="1"/>
    <xf numFmtId="166" fontId="7" fillId="14" borderId="35" xfId="7" applyNumberFormat="1" applyFont="1" applyFill="1" applyBorder="1"/>
    <xf numFmtId="0" fontId="7" fillId="14" borderId="133" xfId="26" applyFont="1" applyFill="1" applyBorder="1"/>
    <xf numFmtId="0" fontId="7" fillId="14" borderId="2" xfId="26" applyFont="1" applyFill="1" applyBorder="1" applyAlignment="1">
      <alignment horizontal="center"/>
    </xf>
    <xf numFmtId="0" fontId="5" fillId="14" borderId="2" xfId="26" applyFont="1" applyFill="1" applyBorder="1" applyAlignment="1">
      <alignment horizontal="center"/>
    </xf>
    <xf numFmtId="164" fontId="7" fillId="14" borderId="2" xfId="26" applyNumberFormat="1" applyFont="1" applyFill="1" applyBorder="1" applyAlignment="1">
      <alignment vertical="center"/>
    </xf>
    <xf numFmtId="0" fontId="7" fillId="14" borderId="137" xfId="26" applyFont="1" applyFill="1" applyBorder="1"/>
    <xf numFmtId="1" fontId="7" fillId="14" borderId="2" xfId="7" applyNumberFormat="1" applyFont="1" applyFill="1" applyBorder="1"/>
    <xf numFmtId="41" fontId="7" fillId="14" borderId="2" xfId="7" applyFont="1" applyFill="1" applyBorder="1" applyAlignment="1">
      <alignment horizontal="center"/>
    </xf>
    <xf numFmtId="2" fontId="7" fillId="14" borderId="2" xfId="26" applyNumberFormat="1" applyFont="1" applyFill="1" applyBorder="1"/>
    <xf numFmtId="2" fontId="7" fillId="14" borderId="33" xfId="26" applyNumberFormat="1" applyFont="1" applyFill="1" applyBorder="1"/>
    <xf numFmtId="4" fontId="7" fillId="14" borderId="134" xfId="26" applyNumberFormat="1" applyFont="1" applyFill="1" applyBorder="1" applyAlignment="1">
      <alignment horizontal="center"/>
    </xf>
    <xf numFmtId="0" fontId="7" fillId="14" borderId="32" xfId="26" applyFont="1" applyFill="1" applyBorder="1"/>
    <xf numFmtId="0" fontId="7" fillId="14" borderId="1" xfId="26" applyFont="1" applyFill="1" applyBorder="1"/>
    <xf numFmtId="1" fontId="7" fillId="14" borderId="2" xfId="26" applyNumberFormat="1" applyFont="1" applyFill="1" applyBorder="1"/>
    <xf numFmtId="166" fontId="7" fillId="14" borderId="2" xfId="7" applyNumberFormat="1" applyFont="1" applyFill="1" applyBorder="1"/>
    <xf numFmtId="1" fontId="7" fillId="14" borderId="5" xfId="7" applyNumberFormat="1" applyFont="1" applyFill="1" applyBorder="1"/>
    <xf numFmtId="166" fontId="7" fillId="14" borderId="240" xfId="7" applyNumberFormat="1" applyFont="1" applyFill="1" applyBorder="1"/>
    <xf numFmtId="4" fontId="7" fillId="14" borderId="270" xfId="26" applyNumberFormat="1" applyFont="1" applyFill="1" applyBorder="1" applyAlignment="1">
      <alignment horizontal="center"/>
    </xf>
    <xf numFmtId="0" fontId="7" fillId="14" borderId="218" xfId="26" applyFont="1" applyFill="1" applyBorder="1"/>
    <xf numFmtId="166" fontId="7" fillId="14" borderId="5" xfId="7" applyNumberFormat="1" applyFont="1" applyFill="1" applyBorder="1"/>
    <xf numFmtId="0" fontId="7" fillId="14" borderId="4" xfId="26" applyFont="1" applyFill="1" applyBorder="1" applyAlignment="1">
      <alignment horizontal="center"/>
    </xf>
    <xf numFmtId="0" fontId="5" fillId="14" borderId="4" xfId="26" applyFont="1" applyFill="1" applyBorder="1" applyAlignment="1">
      <alignment horizontal="center"/>
    </xf>
    <xf numFmtId="164" fontId="7" fillId="14" borderId="4" xfId="26" applyNumberFormat="1" applyFont="1" applyFill="1" applyBorder="1" applyAlignment="1">
      <alignment vertical="center"/>
    </xf>
    <xf numFmtId="1" fontId="7" fillId="14" borderId="4" xfId="7" applyNumberFormat="1" applyFont="1" applyFill="1" applyBorder="1"/>
    <xf numFmtId="41" fontId="7" fillId="14" borderId="4" xfId="7" applyFont="1" applyFill="1" applyBorder="1" applyAlignment="1">
      <alignment horizontal="center"/>
    </xf>
    <xf numFmtId="2" fontId="7" fillId="14" borderId="4" xfId="26" applyNumberFormat="1" applyFont="1" applyFill="1" applyBorder="1"/>
    <xf numFmtId="2" fontId="7" fillId="14" borderId="35" xfId="26" applyNumberFormat="1" applyFont="1" applyFill="1" applyBorder="1"/>
    <xf numFmtId="4" fontId="7" fillId="14" borderId="129" xfId="26" applyNumberFormat="1" applyFont="1" applyFill="1" applyBorder="1"/>
    <xf numFmtId="0" fontId="7" fillId="14" borderId="3" xfId="26" applyFont="1" applyFill="1" applyBorder="1"/>
    <xf numFmtId="1" fontId="7" fillId="14" borderId="4" xfId="26" applyNumberFormat="1" applyFont="1" applyFill="1" applyBorder="1"/>
    <xf numFmtId="1" fontId="7" fillId="14" borderId="100" xfId="7" applyNumberFormat="1" applyFont="1" applyFill="1" applyBorder="1"/>
    <xf numFmtId="166" fontId="7" fillId="14" borderId="271" xfId="7" applyNumberFormat="1" applyFont="1" applyFill="1" applyBorder="1"/>
    <xf numFmtId="0" fontId="7" fillId="14" borderId="272" xfId="26" applyFont="1" applyFill="1" applyBorder="1"/>
    <xf numFmtId="166" fontId="7" fillId="14" borderId="182" xfId="7" applyNumberFormat="1" applyFont="1" applyFill="1" applyBorder="1"/>
    <xf numFmtId="166" fontId="7" fillId="14" borderId="100" xfId="7" applyNumberFormat="1" applyFont="1" applyFill="1" applyBorder="1"/>
    <xf numFmtId="0" fontId="7" fillId="14" borderId="142" xfId="26" applyFont="1" applyFill="1" applyBorder="1"/>
    <xf numFmtId="4" fontId="7" fillId="14" borderId="99" xfId="26" applyNumberFormat="1" applyFont="1" applyFill="1" applyBorder="1" applyAlignment="1">
      <alignment horizontal="center"/>
    </xf>
    <xf numFmtId="4" fontId="7" fillId="14" borderId="273" xfId="26" applyNumberFormat="1" applyFont="1" applyFill="1" applyBorder="1" applyAlignment="1">
      <alignment horizontal="center"/>
    </xf>
    <xf numFmtId="4" fontId="7" fillId="14" borderId="274" xfId="26" applyNumberFormat="1" applyFont="1" applyFill="1" applyBorder="1" applyAlignment="1">
      <alignment horizontal="center"/>
    </xf>
    <xf numFmtId="164" fontId="7" fillId="14" borderId="137" xfId="26" applyNumberFormat="1" applyFont="1" applyFill="1" applyBorder="1" applyAlignment="1">
      <alignment vertical="center"/>
    </xf>
    <xf numFmtId="1" fontId="7" fillId="14" borderId="137" xfId="7" applyNumberFormat="1" applyFont="1" applyFill="1" applyBorder="1"/>
    <xf numFmtId="166" fontId="7" fillId="14" borderId="138" xfId="7" applyNumberFormat="1" applyFont="1" applyFill="1" applyBorder="1"/>
    <xf numFmtId="0" fontId="7" fillId="14" borderId="144" xfId="26" applyFont="1" applyFill="1" applyBorder="1"/>
    <xf numFmtId="0" fontId="7" fillId="14" borderId="96" xfId="26" applyFont="1" applyFill="1" applyBorder="1" applyAlignment="1">
      <alignment horizontal="center"/>
    </xf>
    <xf numFmtId="0" fontId="5" fillId="14" borderId="96" xfId="26" applyFont="1" applyFill="1" applyBorder="1" applyAlignment="1">
      <alignment horizontal="center"/>
    </xf>
    <xf numFmtId="0" fontId="7" fillId="14" borderId="145" xfId="26" applyFont="1" applyFill="1" applyBorder="1" applyAlignment="1">
      <alignment horizontal="center"/>
    </xf>
    <xf numFmtId="0" fontId="7" fillId="14" borderId="146" xfId="26" applyFont="1" applyFill="1" applyBorder="1" applyAlignment="1">
      <alignment horizontal="center"/>
    </xf>
    <xf numFmtId="0" fontId="7" fillId="14" borderId="21" xfId="26" applyFont="1" applyFill="1" applyBorder="1" applyAlignment="1">
      <alignment horizontal="center"/>
    </xf>
    <xf numFmtId="2" fontId="7" fillId="14" borderId="96" xfId="26" applyNumberFormat="1" applyFont="1" applyFill="1" applyBorder="1"/>
    <xf numFmtId="4" fontId="7" fillId="14" borderId="146" xfId="26" applyNumberFormat="1" applyFont="1" applyFill="1" applyBorder="1"/>
    <xf numFmtId="4" fontId="7" fillId="14" borderId="145" xfId="26" applyNumberFormat="1" applyFont="1" applyFill="1" applyBorder="1" applyAlignment="1">
      <alignment horizontal="center"/>
    </xf>
    <xf numFmtId="0" fontId="7" fillId="14" borderId="21" xfId="26" applyFont="1" applyFill="1" applyBorder="1"/>
    <xf numFmtId="1" fontId="7" fillId="14" borderId="96" xfId="26" applyNumberFormat="1" applyFont="1" applyFill="1" applyBorder="1"/>
    <xf numFmtId="166" fontId="7" fillId="14" borderId="96" xfId="7" applyNumberFormat="1" applyFont="1" applyFill="1" applyBorder="1"/>
    <xf numFmtId="1" fontId="7" fillId="14" borderId="96" xfId="7" applyNumberFormat="1" applyFont="1" applyFill="1" applyBorder="1"/>
    <xf numFmtId="1" fontId="7" fillId="14" borderId="145" xfId="7" applyNumberFormat="1" applyFont="1" applyFill="1" applyBorder="1"/>
    <xf numFmtId="166" fontId="7" fillId="14" borderId="275" xfId="7" applyNumberFormat="1" applyFont="1" applyFill="1" applyBorder="1"/>
    <xf numFmtId="4" fontId="7" fillId="14" borderId="276" xfId="26" applyNumberFormat="1" applyFont="1" applyFill="1" applyBorder="1" applyAlignment="1">
      <alignment horizontal="center"/>
    </xf>
    <xf numFmtId="0" fontId="7" fillId="14" borderId="277" xfId="26" applyFont="1" applyFill="1" applyBorder="1"/>
    <xf numFmtId="166" fontId="7" fillId="14" borderId="278" xfId="7" applyNumberFormat="1" applyFont="1" applyFill="1" applyBorder="1"/>
    <xf numFmtId="166" fontId="7" fillId="14" borderId="279" xfId="7" applyNumberFormat="1" applyFont="1" applyFill="1" applyBorder="1"/>
    <xf numFmtId="166" fontId="7" fillId="14" borderId="143" xfId="7" applyNumberFormat="1" applyFont="1" applyFill="1" applyBorder="1"/>
    <xf numFmtId="2" fontId="7" fillId="14" borderId="15" xfId="26" applyNumberFormat="1" applyFont="1" applyFill="1" applyBorder="1" applyAlignment="1">
      <alignment vertical="center"/>
    </xf>
    <xf numFmtId="2" fontId="7" fillId="14" borderId="142" xfId="26" applyNumberFormat="1" applyFont="1" applyFill="1" applyBorder="1" applyAlignment="1">
      <alignment vertical="center"/>
    </xf>
    <xf numFmtId="2" fontId="7" fillId="14" borderId="2" xfId="26" applyNumberFormat="1" applyFont="1" applyFill="1" applyBorder="1" applyAlignment="1">
      <alignment vertical="center"/>
    </xf>
    <xf numFmtId="2" fontId="7" fillId="14" borderId="4" xfId="26" applyNumberFormat="1" applyFont="1" applyFill="1" applyBorder="1" applyAlignment="1">
      <alignment vertical="center"/>
    </xf>
    <xf numFmtId="0" fontId="14" fillId="14" borderId="0" xfId="0" applyFont="1" applyFill="1" applyBorder="1" applyAlignment="1">
      <alignment horizontal="center"/>
    </xf>
    <xf numFmtId="0" fontId="14" fillId="14" borderId="174" xfId="0" applyFont="1" applyFill="1" applyBorder="1" applyAlignment="1"/>
    <xf numFmtId="0" fontId="14" fillId="14" borderId="216" xfId="0" applyFont="1" applyFill="1" applyBorder="1" applyAlignment="1">
      <alignment horizontal="center" vertical="center"/>
    </xf>
    <xf numFmtId="0" fontId="14" fillId="14" borderId="222" xfId="0" applyFont="1" applyFill="1" applyBorder="1" applyAlignment="1">
      <alignment horizontal="center" vertical="center"/>
    </xf>
    <xf numFmtId="0" fontId="14" fillId="14" borderId="280" xfId="0" applyFont="1" applyFill="1" applyBorder="1" applyAlignment="1">
      <alignment horizontal="center" vertical="center"/>
    </xf>
    <xf numFmtId="0" fontId="13" fillId="14" borderId="174" xfId="0" applyFont="1" applyFill="1" applyBorder="1"/>
    <xf numFmtId="0" fontId="13" fillId="14" borderId="5" xfId="0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14" borderId="0" xfId="0" applyFont="1" applyFill="1" applyBorder="1"/>
    <xf numFmtId="0" fontId="13" fillId="14" borderId="175" xfId="0" applyFont="1" applyFill="1" applyBorder="1" applyAlignment="1">
      <alignment horizontal="center"/>
    </xf>
    <xf numFmtId="0" fontId="14" fillId="14" borderId="239" xfId="0" applyFont="1" applyFill="1" applyBorder="1" applyAlignment="1">
      <alignment horizontal="center" vertical="center"/>
    </xf>
    <xf numFmtId="0" fontId="14" fillId="14" borderId="171" xfId="0" applyFont="1" applyFill="1" applyBorder="1" applyAlignment="1">
      <alignment horizontal="center" vertical="center"/>
    </xf>
    <xf numFmtId="0" fontId="14" fillId="14" borderId="172" xfId="0" applyFont="1" applyFill="1" applyBorder="1" applyAlignment="1">
      <alignment horizontal="center" vertical="center"/>
    </xf>
    <xf numFmtId="0" fontId="14" fillId="14" borderId="173" xfId="0" applyFont="1" applyFill="1" applyBorder="1" applyAlignment="1">
      <alignment horizontal="center" vertical="center"/>
    </xf>
    <xf numFmtId="0" fontId="14" fillId="14" borderId="281" xfId="0" applyFont="1" applyFill="1" applyBorder="1" applyAlignment="1">
      <alignment horizontal="center" vertical="center"/>
    </xf>
    <xf numFmtId="0" fontId="14" fillId="14" borderId="282" xfId="0" applyFont="1" applyFill="1" applyBorder="1" applyAlignment="1">
      <alignment horizontal="center" vertical="center"/>
    </xf>
    <xf numFmtId="0" fontId="14" fillId="14" borderId="176" xfId="0" applyFont="1" applyFill="1" applyBorder="1" applyAlignment="1">
      <alignment horizontal="center" vertical="center"/>
    </xf>
    <xf numFmtId="0" fontId="14" fillId="14" borderId="177" xfId="0" applyFont="1" applyFill="1" applyBorder="1" applyAlignment="1">
      <alignment horizontal="center" vertical="center"/>
    </xf>
    <xf numFmtId="0" fontId="14" fillId="14" borderId="178" xfId="0" applyFont="1" applyFill="1" applyBorder="1" applyAlignment="1">
      <alignment horizontal="center" vertical="center"/>
    </xf>
    <xf numFmtId="0" fontId="14" fillId="14" borderId="283" xfId="0" applyFont="1" applyFill="1" applyBorder="1" applyAlignment="1">
      <alignment horizontal="center" vertical="center"/>
    </xf>
    <xf numFmtId="0" fontId="13" fillId="14" borderId="284" xfId="0" applyFont="1" applyFill="1" applyBorder="1" applyAlignment="1">
      <alignment horizontal="center"/>
    </xf>
    <xf numFmtId="0" fontId="13" fillId="14" borderId="165" xfId="0" applyFont="1" applyFill="1" applyBorder="1" applyAlignment="1">
      <alignment horizontal="center"/>
    </xf>
    <xf numFmtId="0" fontId="13" fillId="14" borderId="165" xfId="0" applyFont="1" applyFill="1" applyBorder="1"/>
    <xf numFmtId="0" fontId="13" fillId="14" borderId="285" xfId="0" applyFont="1" applyFill="1" applyBorder="1"/>
    <xf numFmtId="0" fontId="13" fillId="14" borderId="223" xfId="0" applyFont="1" applyFill="1" applyBorder="1" applyAlignment="1">
      <alignment horizontal="center"/>
    </xf>
    <xf numFmtId="0" fontId="13" fillId="14" borderId="240" xfId="0" applyFont="1" applyFill="1" applyBorder="1" applyAlignment="1">
      <alignment horizontal="center"/>
    </xf>
    <xf numFmtId="0" fontId="14" fillId="14" borderId="0" xfId="0" applyFont="1" applyFill="1" applyBorder="1"/>
    <xf numFmtId="0" fontId="13" fillId="14" borderId="175" xfId="0" applyFont="1" applyFill="1" applyBorder="1"/>
    <xf numFmtId="0" fontId="13" fillId="14" borderId="286" xfId="0" applyFont="1" applyFill="1" applyBorder="1" applyAlignment="1">
      <alignment horizontal="center"/>
    </xf>
    <xf numFmtId="2" fontId="13" fillId="14" borderId="286" xfId="0" applyNumberFormat="1" applyFont="1" applyFill="1" applyBorder="1" applyAlignment="1">
      <alignment horizontal="center"/>
    </xf>
    <xf numFmtId="0" fontId="13" fillId="14" borderId="282" xfId="0" applyFont="1" applyFill="1" applyBorder="1" applyAlignment="1">
      <alignment horizontal="center"/>
    </xf>
    <xf numFmtId="0" fontId="13" fillId="14" borderId="177" xfId="0" applyFont="1" applyFill="1" applyBorder="1" applyAlignment="1">
      <alignment horizontal="center"/>
    </xf>
    <xf numFmtId="0" fontId="13" fillId="14" borderId="177" xfId="0" applyFont="1" applyFill="1" applyBorder="1"/>
    <xf numFmtId="0" fontId="13" fillId="14" borderId="178" xfId="0" applyFont="1" applyFill="1" applyBorder="1"/>
    <xf numFmtId="0" fontId="13" fillId="14" borderId="283" xfId="0" applyFont="1" applyFill="1" applyBorder="1" applyAlignment="1">
      <alignment horizontal="center"/>
    </xf>
    <xf numFmtId="2" fontId="13" fillId="14" borderId="283" xfId="0" applyNumberFormat="1" applyFont="1" applyFill="1" applyBorder="1" applyAlignment="1">
      <alignment horizontal="center"/>
    </xf>
    <xf numFmtId="0" fontId="13" fillId="14" borderId="239" xfId="0" applyFont="1" applyFill="1" applyBorder="1" applyAlignment="1">
      <alignment horizontal="center"/>
    </xf>
    <xf numFmtId="0" fontId="13" fillId="14" borderId="172" xfId="0" applyFont="1" applyFill="1" applyBorder="1" applyAlignment="1">
      <alignment horizontal="center"/>
    </xf>
    <xf numFmtId="0" fontId="14" fillId="14" borderId="172" xfId="0" applyFont="1" applyFill="1" applyBorder="1"/>
    <xf numFmtId="0" fontId="13" fillId="14" borderId="172" xfId="0" applyFont="1" applyFill="1" applyBorder="1"/>
    <xf numFmtId="0" fontId="13" fillId="14" borderId="173" xfId="0" applyFont="1" applyFill="1" applyBorder="1"/>
    <xf numFmtId="0" fontId="13" fillId="14" borderId="281" xfId="0" applyFont="1" applyFill="1" applyBorder="1" applyAlignment="1">
      <alignment horizontal="center"/>
    </xf>
    <xf numFmtId="0" fontId="13" fillId="14" borderId="174" xfId="0" applyFont="1" applyFill="1" applyBorder="1" applyAlignment="1">
      <alignment horizontal="center"/>
    </xf>
    <xf numFmtId="0" fontId="13" fillId="14" borderId="240" xfId="0" applyFont="1" applyFill="1" applyBorder="1"/>
    <xf numFmtId="0" fontId="13" fillId="14" borderId="178" xfId="0" applyFont="1" applyFill="1" applyBorder="1" applyAlignment="1">
      <alignment horizontal="center"/>
    </xf>
    <xf numFmtId="0" fontId="14" fillId="14" borderId="240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174" xfId="0" applyFont="1" applyFill="1" applyBorder="1" applyAlignment="1">
      <alignment horizontal="center"/>
    </xf>
    <xf numFmtId="0" fontId="14" fillId="14" borderId="282" xfId="0" applyFont="1" applyFill="1" applyBorder="1" applyAlignment="1">
      <alignment horizontal="center"/>
    </xf>
    <xf numFmtId="0" fontId="14" fillId="14" borderId="239" xfId="0" applyFont="1" applyFill="1" applyBorder="1" applyAlignment="1">
      <alignment horizontal="center"/>
    </xf>
    <xf numFmtId="0" fontId="14" fillId="14" borderId="172" xfId="0" applyFont="1" applyFill="1" applyBorder="1" applyAlignment="1">
      <alignment horizontal="center"/>
    </xf>
  </cellXfs>
  <cellStyles count="31">
    <cellStyle name="Comma [0]" xfId="25" builtinId="6"/>
    <cellStyle name="Comma [0] 2" xfId="7"/>
    <cellStyle name="Comma [0] 2 6" xfId="28"/>
    <cellStyle name="Comma 12" xfId="5"/>
    <cellStyle name="Comma 2" xfId="2"/>
    <cellStyle name="Comma 2 10 2" xfId="17"/>
    <cellStyle name="Comma 2 4" xfId="4"/>
    <cellStyle name="Comma 29" xfId="15"/>
    <cellStyle name="Comma 30" xfId="13"/>
    <cellStyle name="Comma 42" xfId="20"/>
    <cellStyle name="Comma 44" xfId="21"/>
    <cellStyle name="Comma 45" xfId="22"/>
    <cellStyle name="Comma 46" xfId="23"/>
    <cellStyle name="Comma 50" xfId="24"/>
    <cellStyle name="Comma 53" xfId="12"/>
    <cellStyle name="Currency [0] 2" xfId="30"/>
    <cellStyle name="Currency [0] 2 2" xfId="29"/>
    <cellStyle name="Hyperlink" xfId="10" builtinId="8"/>
    <cellStyle name="Normal" xfId="0" builtinId="0"/>
    <cellStyle name="Normal 19" xfId="14"/>
    <cellStyle name="Normal 2" xfId="1"/>
    <cellStyle name="Normal 2 2" xfId="9"/>
    <cellStyle name="Normal 2 2 7" xfId="27"/>
    <cellStyle name="Normal 2 4" xfId="3"/>
    <cellStyle name="Normal 2 6" xfId="26"/>
    <cellStyle name="Normal 21" xfId="16"/>
    <cellStyle name="Normal 30" xfId="18"/>
    <cellStyle name="Normal 32" xfId="19"/>
    <cellStyle name="Normal 45" xfId="8"/>
    <cellStyle name="Normal 46" xfId="11"/>
    <cellStyle name="Percent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7.2307819233023958E-3"/>
          <c:y val="3.5192016399466842E-3"/>
          <c:w val="0.9877439594447166"/>
          <c:h val="0.89159053207908157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TS!$G$26:$AD$26</c:f>
              <c:numCache>
                <c:formatCode>0.000</c:formatCode>
                <c:ptCount val="24"/>
                <c:pt idx="0">
                  <c:v>1.1686059194093132</c:v>
                </c:pt>
                <c:pt idx="1">
                  <c:v>2.3372118388186265</c:v>
                </c:pt>
                <c:pt idx="2">
                  <c:v>6.7302111502414466</c:v>
                </c:pt>
                <c:pt idx="3">
                  <c:v>11.428120929727715</c:v>
                </c:pt>
                <c:pt idx="4">
                  <c:v>16.126030709213985</c:v>
                </c:pt>
                <c:pt idx="5">
                  <c:v>20.519030020636805</c:v>
                </c:pt>
                <c:pt idx="6">
                  <c:v>24.912029332059625</c:v>
                </c:pt>
                <c:pt idx="7">
                  <c:v>29.609939111545895</c:v>
                </c:pt>
                <c:pt idx="8">
                  <c:v>34.307848891032165</c:v>
                </c:pt>
                <c:pt idx="9">
                  <c:v>38.700848202454985</c:v>
                </c:pt>
                <c:pt idx="10">
                  <c:v>43.093847513877805</c:v>
                </c:pt>
                <c:pt idx="11">
                  <c:v>47.791757293364071</c:v>
                </c:pt>
                <c:pt idx="12">
                  <c:v>52.489667072850338</c:v>
                </c:pt>
                <c:pt idx="13">
                  <c:v>56.882666384273158</c:v>
                </c:pt>
                <c:pt idx="14">
                  <c:v>61.275665695695977</c:v>
                </c:pt>
                <c:pt idx="15">
                  <c:v>65.973575475182244</c:v>
                </c:pt>
                <c:pt idx="16">
                  <c:v>70.671485254668511</c:v>
                </c:pt>
                <c:pt idx="17">
                  <c:v>75.064484566091323</c:v>
                </c:pt>
                <c:pt idx="18">
                  <c:v>79.457483877514136</c:v>
                </c:pt>
                <c:pt idx="19">
                  <c:v>84.155393657000403</c:v>
                </c:pt>
                <c:pt idx="20">
                  <c:v>88.853303436486669</c:v>
                </c:pt>
                <c:pt idx="21">
                  <c:v>93.246302747909482</c:v>
                </c:pt>
                <c:pt idx="22">
                  <c:v>96.775606607986433</c:v>
                </c:pt>
                <c:pt idx="23">
                  <c:v>99.999999999999943</c:v>
                </c:pt>
              </c:numCache>
            </c:numRef>
          </c:val>
        </c:ser>
        <c:marker val="1"/>
        <c:axId val="52519296"/>
        <c:axId val="52520832"/>
      </c:lineChart>
      <c:catAx>
        <c:axId val="525192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52520832"/>
        <c:crosses val="autoZero"/>
        <c:auto val="1"/>
        <c:lblAlgn val="ctr"/>
        <c:lblOffset val="100"/>
      </c:catAx>
      <c:valAx>
        <c:axId val="52520832"/>
        <c:scaling>
          <c:orientation val="minMax"/>
        </c:scaling>
        <c:delete val="1"/>
        <c:axPos val="l"/>
        <c:majorGridlines/>
        <c:numFmt formatCode="0.000" sourceLinked="1"/>
        <c:tickLblPos val="nextTo"/>
        <c:crossAx val="5251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  <c:dispBlanksAs val="gap"/>
  </c:chart>
  <c:spPr>
    <a:noFill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3.2636462773978102E-2"/>
          <c:y val="9.7849026939268044E-2"/>
          <c:w val="0.93897091507586583"/>
          <c:h val="0.89839852216032234"/>
        </c:manualLayout>
      </c:layout>
      <c:lineChart>
        <c:grouping val="standard"/>
        <c:ser>
          <c:idx val="0"/>
          <c:order val="0"/>
          <c:val>
            <c:numRef>
              <c:f>'TS &amp; CS'!$G$25:$AB$25</c:f>
              <c:numCache>
                <c:formatCode>0.000</c:formatCode>
                <c:ptCount val="22"/>
                <c:pt idx="0">
                  <c:v>1.2854665113502446</c:v>
                </c:pt>
                <c:pt idx="1">
                  <c:v>2.5709330227004892</c:v>
                </c:pt>
                <c:pt idx="2">
                  <c:v>7.4032322652655917</c:v>
                </c:pt>
                <c:pt idx="3">
                  <c:v>12.570933022700489</c:v>
                </c:pt>
                <c:pt idx="4">
                  <c:v>17.738633780135387</c:v>
                </c:pt>
                <c:pt idx="5">
                  <c:v>22.570933022700491</c:v>
                </c:pt>
                <c:pt idx="6">
                  <c:v>27.403232265265594</c:v>
                </c:pt>
                <c:pt idx="7">
                  <c:v>32.570933022700487</c:v>
                </c:pt>
                <c:pt idx="8">
                  <c:v>37.738633780135387</c:v>
                </c:pt>
                <c:pt idx="9">
                  <c:v>42.570933022700487</c:v>
                </c:pt>
                <c:pt idx="10">
                  <c:v>47.403232265265586</c:v>
                </c:pt>
                <c:pt idx="11">
                  <c:v>52.570933022700487</c:v>
                </c:pt>
                <c:pt idx="12">
                  <c:v>57.738633780135387</c:v>
                </c:pt>
                <c:pt idx="13">
                  <c:v>62.570933022700487</c:v>
                </c:pt>
                <c:pt idx="14">
                  <c:v>67.403232265265586</c:v>
                </c:pt>
                <c:pt idx="15">
                  <c:v>72.570933022700487</c:v>
                </c:pt>
                <c:pt idx="16">
                  <c:v>77.738633780135387</c:v>
                </c:pt>
                <c:pt idx="17">
                  <c:v>82.570933022700487</c:v>
                </c:pt>
                <c:pt idx="18">
                  <c:v>87.403232265265586</c:v>
                </c:pt>
                <c:pt idx="19">
                  <c:v>92.570933022700487</c:v>
                </c:pt>
                <c:pt idx="20">
                  <c:v>96.453167268785137</c:v>
                </c:pt>
                <c:pt idx="21">
                  <c:v>100</c:v>
                </c:pt>
              </c:numCache>
            </c:numRef>
          </c:val>
        </c:ser>
        <c:marker val="1"/>
        <c:axId val="52953472"/>
        <c:axId val="52955008"/>
      </c:lineChart>
      <c:catAx>
        <c:axId val="52953472"/>
        <c:scaling>
          <c:orientation val="minMax"/>
        </c:scaling>
        <c:delete val="1"/>
        <c:axPos val="b"/>
        <c:tickLblPos val="nextTo"/>
        <c:crossAx val="52955008"/>
        <c:crosses val="autoZero"/>
        <c:auto val="1"/>
        <c:lblAlgn val="ctr"/>
        <c:lblOffset val="100"/>
      </c:catAx>
      <c:valAx>
        <c:axId val="52955008"/>
        <c:scaling>
          <c:orientation val="minMax"/>
        </c:scaling>
        <c:delete val="1"/>
        <c:axPos val="l"/>
        <c:numFmt formatCode="0.000" sourceLinked="1"/>
        <c:tickLblPos val="nextTo"/>
        <c:crossAx val="5295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NULL"/><Relationship Id="rId4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1850572</xdr:colOff>
      <xdr:row>6</xdr:row>
      <xdr:rowOff>163287</xdr:rowOff>
    </xdr:from>
    <xdr:to>
      <xdr:col>30</xdr:col>
      <xdr:colOff>340179</xdr:colOff>
      <xdr:row>24</xdr:row>
      <xdr:rowOff>176894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752781</xdr:colOff>
      <xdr:row>28</xdr:row>
      <xdr:rowOff>168994</xdr:rowOff>
    </xdr:from>
    <xdr:to>
      <xdr:col>27</xdr:col>
      <xdr:colOff>235049</xdr:colOff>
      <xdr:row>42</xdr:row>
      <xdr:rowOff>46091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1154906</xdr:colOff>
      <xdr:row>0</xdr:row>
      <xdr:rowOff>107155</xdr:rowOff>
    </xdr:from>
    <xdr:to>
      <xdr:col>4</xdr:col>
      <xdr:colOff>10658</xdr:colOff>
      <xdr:row>2</xdr:row>
      <xdr:rowOff>168242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40781" y="107155"/>
          <a:ext cx="8277" cy="489712"/>
        </a:xfrm>
        <a:prstGeom prst="rect">
          <a:avLst/>
        </a:prstGeom>
      </xdr:spPr>
    </xdr:pic>
    <xdr:clientData/>
  </xdr:twoCellAnchor>
  <xdr:oneCellAnchor>
    <xdr:from>
      <xdr:col>2</xdr:col>
      <xdr:colOff>100447</xdr:colOff>
      <xdr:row>58</xdr:row>
      <xdr:rowOff>0</xdr:rowOff>
    </xdr:from>
    <xdr:ext cx="2083254" cy="248851"/>
    <xdr:sp macro="" textlink="">
      <xdr:nvSpPr>
        <xdr:cNvPr id="3" name="TextBox 2"/>
        <xdr:cNvSpPr txBox="1"/>
      </xdr:nvSpPr>
      <xdr:spPr>
        <a:xfrm>
          <a:off x="1319647" y="11722802"/>
          <a:ext cx="208325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000"/>
        </a:p>
      </xdr:txBody>
    </xdr:sp>
    <xdr:clientData/>
  </xdr:oneCellAnchor>
  <xdr:oneCellAnchor>
    <xdr:from>
      <xdr:col>1</xdr:col>
      <xdr:colOff>199037</xdr:colOff>
      <xdr:row>58</xdr:row>
      <xdr:rowOff>0</xdr:rowOff>
    </xdr:from>
    <xdr:ext cx="2083254" cy="248851"/>
    <xdr:sp macro="" textlink="">
      <xdr:nvSpPr>
        <xdr:cNvPr id="5" name="TextBox 4"/>
        <xdr:cNvSpPr txBox="1"/>
      </xdr:nvSpPr>
      <xdr:spPr>
        <a:xfrm>
          <a:off x="808637" y="10382250"/>
          <a:ext cx="208325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000"/>
        </a:p>
      </xdr:txBody>
    </xdr:sp>
    <xdr:clientData/>
  </xdr:oneCellAnchor>
  <xdr:oneCellAnchor>
    <xdr:from>
      <xdr:col>1</xdr:col>
      <xdr:colOff>173060</xdr:colOff>
      <xdr:row>58</xdr:row>
      <xdr:rowOff>0</xdr:rowOff>
    </xdr:from>
    <xdr:ext cx="2083254" cy="248851"/>
    <xdr:sp macro="" textlink="">
      <xdr:nvSpPr>
        <xdr:cNvPr id="6" name="TextBox 5"/>
        <xdr:cNvSpPr txBox="1"/>
      </xdr:nvSpPr>
      <xdr:spPr>
        <a:xfrm>
          <a:off x="782660" y="10382250"/>
          <a:ext cx="208325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000"/>
        </a:p>
      </xdr:txBody>
    </xdr:sp>
    <xdr:clientData/>
  </xdr:oneCellAnchor>
  <xdr:twoCellAnchor editAs="oneCell">
    <xdr:from>
      <xdr:col>11</xdr:col>
      <xdr:colOff>666750</xdr:colOff>
      <xdr:row>0</xdr:row>
      <xdr:rowOff>83345</xdr:rowOff>
    </xdr:from>
    <xdr:to>
      <xdr:col>11</xdr:col>
      <xdr:colOff>666750</xdr:colOff>
      <xdr:row>3</xdr:row>
      <xdr:rowOff>42863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72475" y="83345"/>
          <a:ext cx="0" cy="588168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38100</xdr:rowOff>
    </xdr:from>
    <xdr:to>
      <xdr:col>11</xdr:col>
      <xdr:colOff>971550</xdr:colOff>
      <xdr:row>3</xdr:row>
      <xdr:rowOff>104775</xdr:rowOff>
    </xdr:to>
    <xdr:pic>
      <xdr:nvPicPr>
        <xdr:cNvPr id="8" name="Picture 2" descr="LMBANG QS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10525" y="381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0</xdr:row>
      <xdr:rowOff>28575</xdr:rowOff>
    </xdr:from>
    <xdr:to>
      <xdr:col>2</xdr:col>
      <xdr:colOff>80433</xdr:colOff>
      <xdr:row>3</xdr:row>
      <xdr:rowOff>104775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1" t="4369" r="67877" b="4369"/>
        <a:stretch>
          <a:fillRect/>
        </a:stretch>
      </xdr:blipFill>
      <xdr:spPr bwMode="auto">
        <a:xfrm>
          <a:off x="542925" y="28575"/>
          <a:ext cx="75670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da/0%20RAP%20Polda%20Sumb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da/CCO-1%20POLDA%20SUMBAR%20kompu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ugas%20Akhir/T.A%20Daswir/PERHITUNGAN%20BIAYA%20(DASWI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OKE/VOLUME/COLUMN%20Polda%20(%20r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OKE/VOLUME/SLAB%20WIRE%20MASH%20(Ri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OKE/VOLUME/SLAB%20(Rio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OKE/ta%20DICK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OKE/PRICE/PERHITUNGAN%20BIAYA%20(DASWIR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B"/>
      <sheetName val="Be-02"/>
      <sheetName val="Upah"/>
      <sheetName val="Bahan"/>
      <sheetName val="Alat"/>
      <sheetName val="Sub"/>
      <sheetName val="SKBDN"/>
      <sheetName val="Bu"/>
      <sheetName val="Schd-mp"/>
      <sheetName val="MU"/>
      <sheetName val="Sub Pinjen"/>
      <sheetName val="Sub MEP"/>
      <sheetName val="Bantu"/>
      <sheetName val="Sheet2"/>
      <sheetName val="Sheet1"/>
      <sheetName val="Sheet3"/>
    </sheetNames>
    <sheetDataSet>
      <sheetData sheetId="0" refreshError="1"/>
      <sheetData sheetId="1" refreshError="1">
        <row r="99">
          <cell r="K99">
            <v>5918</v>
          </cell>
        </row>
        <row r="108">
          <cell r="K108">
            <v>571</v>
          </cell>
        </row>
      </sheetData>
      <sheetData sheetId="2" refreshError="1"/>
      <sheetData sheetId="3" refreshError="1">
        <row r="8">
          <cell r="G8">
            <v>58000</v>
          </cell>
        </row>
        <row r="9">
          <cell r="G9">
            <v>900000</v>
          </cell>
        </row>
        <row r="12">
          <cell r="G12">
            <v>731250</v>
          </cell>
        </row>
        <row r="13">
          <cell r="G13">
            <v>126500</v>
          </cell>
        </row>
        <row r="14">
          <cell r="G14">
            <v>111500</v>
          </cell>
        </row>
        <row r="16">
          <cell r="G16">
            <v>121500</v>
          </cell>
        </row>
        <row r="17">
          <cell r="G17">
            <v>121500</v>
          </cell>
        </row>
        <row r="19">
          <cell r="G19">
            <v>136500</v>
          </cell>
        </row>
        <row r="20">
          <cell r="G20">
            <v>2500000</v>
          </cell>
        </row>
        <row r="22">
          <cell r="G22">
            <v>152500</v>
          </cell>
        </row>
        <row r="23">
          <cell r="G23">
            <v>10500</v>
          </cell>
        </row>
        <row r="24">
          <cell r="G24">
            <v>7075</v>
          </cell>
        </row>
        <row r="25">
          <cell r="G25">
            <v>1100</v>
          </cell>
        </row>
        <row r="26">
          <cell r="G26">
            <v>11000</v>
          </cell>
        </row>
        <row r="27">
          <cell r="G27">
            <v>40288.888888888891</v>
          </cell>
        </row>
        <row r="28">
          <cell r="G28">
            <v>52622.222222222226</v>
          </cell>
        </row>
        <row r="29">
          <cell r="G29">
            <v>675</v>
          </cell>
        </row>
        <row r="31">
          <cell r="G31">
            <v>12500</v>
          </cell>
        </row>
        <row r="36">
          <cell r="G36">
            <v>3293940</v>
          </cell>
        </row>
        <row r="38">
          <cell r="G38">
            <v>1626885</v>
          </cell>
        </row>
        <row r="39">
          <cell r="G39">
            <v>2114950.5</v>
          </cell>
        </row>
        <row r="41">
          <cell r="G41">
            <v>157332.5</v>
          </cell>
        </row>
        <row r="42">
          <cell r="G42">
            <v>270478</v>
          </cell>
        </row>
        <row r="49">
          <cell r="G49">
            <v>123600</v>
          </cell>
        </row>
        <row r="51">
          <cell r="G51">
            <v>123600</v>
          </cell>
        </row>
        <row r="53">
          <cell r="G53">
            <v>123600</v>
          </cell>
        </row>
      </sheetData>
      <sheetData sheetId="4" refreshError="1">
        <row r="9">
          <cell r="G9">
            <v>21205.8</v>
          </cell>
        </row>
        <row r="27">
          <cell r="G27">
            <v>250000</v>
          </cell>
        </row>
      </sheetData>
      <sheetData sheetId="5" refreshError="1">
        <row r="8">
          <cell r="G8">
            <v>90000</v>
          </cell>
        </row>
        <row r="9">
          <cell r="G9">
            <v>40000</v>
          </cell>
        </row>
        <row r="41">
          <cell r="G41">
            <v>85000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H"/>
      <sheetName val="Rek"/>
      <sheetName val="G Utama"/>
      <sheetName val="G Selatan"/>
      <sheetName val="Halaman"/>
      <sheetName val="Rek Anal"/>
      <sheetName val="Analisa"/>
      <sheetName val="Hardas"/>
      <sheetName val="Sub"/>
      <sheetName val="Sheet1"/>
      <sheetName val="Ak-C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E10">
            <v>100000</v>
          </cell>
        </row>
        <row r="11">
          <cell r="E11">
            <v>91000</v>
          </cell>
        </row>
        <row r="12">
          <cell r="E12">
            <v>82000</v>
          </cell>
        </row>
        <row r="13">
          <cell r="E13">
            <v>82000</v>
          </cell>
        </row>
        <row r="14">
          <cell r="E14">
            <v>82000</v>
          </cell>
        </row>
        <row r="17">
          <cell r="E17">
            <v>82000</v>
          </cell>
        </row>
        <row r="21">
          <cell r="E21">
            <v>59000</v>
          </cell>
        </row>
        <row r="22">
          <cell r="E22">
            <v>50000</v>
          </cell>
        </row>
        <row r="28">
          <cell r="E28">
            <v>115000</v>
          </cell>
        </row>
        <row r="29">
          <cell r="E29">
            <v>136500</v>
          </cell>
        </row>
        <row r="30">
          <cell r="E30">
            <v>121500</v>
          </cell>
        </row>
        <row r="32">
          <cell r="E32">
            <v>101360</v>
          </cell>
        </row>
        <row r="35">
          <cell r="E35">
            <v>364500</v>
          </cell>
        </row>
        <row r="36">
          <cell r="E36">
            <v>364500</v>
          </cell>
        </row>
        <row r="37">
          <cell r="E37">
            <v>364500</v>
          </cell>
        </row>
        <row r="38">
          <cell r="E38">
            <v>364500</v>
          </cell>
        </row>
        <row r="40">
          <cell r="E40">
            <v>1050</v>
          </cell>
        </row>
        <row r="49">
          <cell r="E49">
            <v>1800000</v>
          </cell>
        </row>
        <row r="50">
          <cell r="E50">
            <v>1800000</v>
          </cell>
        </row>
        <row r="51">
          <cell r="E51">
            <v>1800000</v>
          </cell>
        </row>
        <row r="54">
          <cell r="E54">
            <v>21820</v>
          </cell>
        </row>
        <row r="57">
          <cell r="E57">
            <v>610</v>
          </cell>
        </row>
        <row r="60">
          <cell r="E60">
            <v>10500</v>
          </cell>
        </row>
        <row r="62">
          <cell r="E62">
            <v>30000</v>
          </cell>
        </row>
        <row r="63">
          <cell r="E63">
            <v>10725</v>
          </cell>
        </row>
        <row r="65">
          <cell r="E65">
            <v>9400</v>
          </cell>
        </row>
        <row r="67">
          <cell r="E67">
            <v>12650</v>
          </cell>
        </row>
        <row r="68">
          <cell r="E68">
            <v>9300</v>
          </cell>
        </row>
        <row r="71">
          <cell r="E71">
            <v>70360</v>
          </cell>
        </row>
        <row r="72">
          <cell r="E72">
            <v>105540</v>
          </cell>
        </row>
        <row r="73">
          <cell r="E73">
            <v>13480</v>
          </cell>
        </row>
        <row r="75">
          <cell r="E75">
            <v>6585</v>
          </cell>
        </row>
        <row r="77">
          <cell r="E77">
            <v>15690</v>
          </cell>
        </row>
        <row r="78">
          <cell r="E78">
            <v>18000</v>
          </cell>
        </row>
        <row r="79">
          <cell r="E79">
            <v>17500</v>
          </cell>
        </row>
        <row r="81">
          <cell r="E81">
            <v>11770</v>
          </cell>
        </row>
        <row r="82">
          <cell r="E82">
            <v>25240</v>
          </cell>
        </row>
        <row r="83">
          <cell r="E83">
            <v>5000</v>
          </cell>
        </row>
        <row r="85">
          <cell r="E85">
            <v>8500</v>
          </cell>
        </row>
        <row r="92">
          <cell r="E92">
            <v>33000</v>
          </cell>
        </row>
        <row r="93">
          <cell r="E93">
            <v>39500</v>
          </cell>
        </row>
        <row r="94">
          <cell r="E94">
            <v>5450</v>
          </cell>
        </row>
        <row r="95">
          <cell r="E95">
            <v>5450</v>
          </cell>
        </row>
        <row r="101">
          <cell r="E101">
            <v>21820</v>
          </cell>
        </row>
        <row r="102">
          <cell r="E102">
            <v>49090</v>
          </cell>
        </row>
        <row r="113">
          <cell r="E113">
            <v>69320</v>
          </cell>
        </row>
        <row r="114">
          <cell r="E114">
            <v>103980</v>
          </cell>
        </row>
        <row r="117">
          <cell r="E117">
            <v>42190</v>
          </cell>
        </row>
        <row r="118">
          <cell r="E118">
            <v>56250</v>
          </cell>
        </row>
        <row r="119">
          <cell r="E119">
            <v>94700</v>
          </cell>
        </row>
        <row r="120">
          <cell r="E120">
            <v>1400000</v>
          </cell>
        </row>
        <row r="121">
          <cell r="E121">
            <v>675000</v>
          </cell>
        </row>
        <row r="124">
          <cell r="E124">
            <v>121350</v>
          </cell>
        </row>
        <row r="125">
          <cell r="E125">
            <v>8600</v>
          </cell>
        </row>
        <row r="126">
          <cell r="E126">
            <v>8600</v>
          </cell>
        </row>
        <row r="127">
          <cell r="E127">
            <v>34380</v>
          </cell>
        </row>
        <row r="128">
          <cell r="E128">
            <v>17190</v>
          </cell>
        </row>
        <row r="137">
          <cell r="E137">
            <v>9090</v>
          </cell>
        </row>
        <row r="145">
          <cell r="E145">
            <v>50000</v>
          </cell>
        </row>
        <row r="146">
          <cell r="E146">
            <v>120000</v>
          </cell>
        </row>
        <row r="152">
          <cell r="E152">
            <v>465450</v>
          </cell>
        </row>
        <row r="156">
          <cell r="E156">
            <v>1777000</v>
          </cell>
        </row>
        <row r="157">
          <cell r="E157">
            <v>79450</v>
          </cell>
        </row>
        <row r="186">
          <cell r="E186">
            <v>3293940</v>
          </cell>
        </row>
        <row r="187">
          <cell r="E187">
            <v>136300</v>
          </cell>
        </row>
        <row r="189">
          <cell r="E189">
            <v>1626890</v>
          </cell>
        </row>
        <row r="190">
          <cell r="E190">
            <v>2114950</v>
          </cell>
        </row>
        <row r="193">
          <cell r="E193">
            <v>195450</v>
          </cell>
        </row>
        <row r="195">
          <cell r="E195">
            <v>150000</v>
          </cell>
        </row>
        <row r="196">
          <cell r="E196">
            <v>150000</v>
          </cell>
        </row>
        <row r="200">
          <cell r="E200">
            <v>50000</v>
          </cell>
        </row>
        <row r="201">
          <cell r="E201">
            <v>75000</v>
          </cell>
        </row>
        <row r="202">
          <cell r="E202">
            <v>75000</v>
          </cell>
        </row>
        <row r="203">
          <cell r="E203">
            <v>55000</v>
          </cell>
        </row>
        <row r="204">
          <cell r="E204">
            <v>12500</v>
          </cell>
        </row>
        <row r="209">
          <cell r="E209">
            <v>157330</v>
          </cell>
        </row>
        <row r="211">
          <cell r="E211">
            <v>2500</v>
          </cell>
        </row>
        <row r="212">
          <cell r="E212">
            <v>270480</v>
          </cell>
        </row>
        <row r="214">
          <cell r="E214">
            <v>6000</v>
          </cell>
        </row>
        <row r="215">
          <cell r="E215">
            <v>2250</v>
          </cell>
        </row>
        <row r="216">
          <cell r="E216">
            <v>5000</v>
          </cell>
        </row>
        <row r="217">
          <cell r="E217">
            <v>491000</v>
          </cell>
        </row>
        <row r="218">
          <cell r="E218">
            <v>245500</v>
          </cell>
        </row>
        <row r="230">
          <cell r="E230">
            <v>4000.0000000000009</v>
          </cell>
        </row>
        <row r="234">
          <cell r="E234">
            <v>123900</v>
          </cell>
        </row>
        <row r="237">
          <cell r="E237">
            <v>65450</v>
          </cell>
        </row>
        <row r="244">
          <cell r="E244">
            <v>731250</v>
          </cell>
        </row>
        <row r="245">
          <cell r="E245">
            <v>85000</v>
          </cell>
        </row>
        <row r="246">
          <cell r="E246">
            <v>680000</v>
          </cell>
        </row>
        <row r="251">
          <cell r="E251">
            <v>990000</v>
          </cell>
        </row>
        <row r="259">
          <cell r="E259">
            <v>21210</v>
          </cell>
        </row>
        <row r="261">
          <cell r="E261">
            <v>250000</v>
          </cell>
        </row>
      </sheetData>
      <sheetData sheetId="8"/>
      <sheetData sheetId="9">
        <row r="30">
          <cell r="D30">
            <v>100000</v>
          </cell>
        </row>
        <row r="33">
          <cell r="D33">
            <v>35400</v>
          </cell>
        </row>
        <row r="106">
          <cell r="D106">
            <v>90000</v>
          </cell>
        </row>
        <row r="108">
          <cell r="D108">
            <v>120000</v>
          </cell>
        </row>
        <row r="118">
          <cell r="D118">
            <v>72000</v>
          </cell>
        </row>
        <row r="124">
          <cell r="D124">
            <v>86000</v>
          </cell>
        </row>
        <row r="150">
          <cell r="D150">
            <v>9300</v>
          </cell>
        </row>
        <row r="160">
          <cell r="D160">
            <v>1350000</v>
          </cell>
        </row>
        <row r="203">
          <cell r="D203">
            <v>50000</v>
          </cell>
        </row>
        <row r="219">
          <cell r="D219">
            <v>120000</v>
          </cell>
        </row>
        <row r="253">
          <cell r="D253">
            <v>32925</v>
          </cell>
        </row>
        <row r="256">
          <cell r="D256">
            <v>13481</v>
          </cell>
        </row>
        <row r="262">
          <cell r="D262">
            <v>35000</v>
          </cell>
        </row>
        <row r="269">
          <cell r="D269">
            <v>47064</v>
          </cell>
        </row>
        <row r="270">
          <cell r="D270">
            <v>47064</v>
          </cell>
        </row>
        <row r="271">
          <cell r="D271">
            <v>54000</v>
          </cell>
        </row>
        <row r="279">
          <cell r="D279">
            <v>39500</v>
          </cell>
        </row>
        <row r="287">
          <cell r="D287">
            <v>5000</v>
          </cell>
        </row>
        <row r="294">
          <cell r="D294">
            <v>33000</v>
          </cell>
        </row>
        <row r="344">
          <cell r="D344">
            <v>57725</v>
          </cell>
        </row>
        <row r="356">
          <cell r="D356">
            <v>11350</v>
          </cell>
        </row>
        <row r="367">
          <cell r="D367">
            <v>384000</v>
          </cell>
        </row>
        <row r="368">
          <cell r="D368">
            <v>592333</v>
          </cell>
        </row>
        <row r="377">
          <cell r="D377">
            <v>136300</v>
          </cell>
        </row>
        <row r="393">
          <cell r="D393">
            <v>2500</v>
          </cell>
        </row>
        <row r="400">
          <cell r="D400">
            <v>150000</v>
          </cell>
        </row>
        <row r="401">
          <cell r="D401">
            <v>215000</v>
          </cell>
        </row>
        <row r="411">
          <cell r="D411">
            <v>55000</v>
          </cell>
        </row>
        <row r="421">
          <cell r="D421">
            <v>12500</v>
          </cell>
        </row>
        <row r="493">
          <cell r="D493">
            <v>6900</v>
          </cell>
        </row>
        <row r="496">
          <cell r="D496">
            <v>5000</v>
          </cell>
        </row>
        <row r="497">
          <cell r="D497">
            <v>9400</v>
          </cell>
        </row>
        <row r="499">
          <cell r="D499">
            <v>1081000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arga Upah &amp; Bahan"/>
      <sheetName val="Analisa Harga"/>
      <sheetName val="Rekap Volume"/>
      <sheetName val="RAB"/>
      <sheetName val="Rekap Biaya"/>
      <sheetName val="Time Schedule"/>
      <sheetName val="Time Schedule (2)"/>
      <sheetName val="cash flow"/>
      <sheetName val="plan schdule"/>
      <sheetName val="Area"/>
      <sheetName val="Data Teknis"/>
    </sheetNames>
    <sheetDataSet>
      <sheetData sheetId="0" refreshError="1"/>
      <sheetData sheetId="1">
        <row r="402">
          <cell r="D402">
            <v>0.4</v>
          </cell>
        </row>
        <row r="403">
          <cell r="D403">
            <v>0.15</v>
          </cell>
        </row>
        <row r="404">
          <cell r="D404">
            <v>1.4999999999999999E-2</v>
          </cell>
        </row>
        <row r="405">
          <cell r="D405">
            <v>0.03</v>
          </cell>
        </row>
        <row r="406">
          <cell r="D406">
            <v>2</v>
          </cell>
        </row>
        <row r="407">
          <cell r="D407">
            <v>0.35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K1"/>
      <sheetName val="K1A"/>
      <sheetName val="K2 - K2G &amp; K3"/>
      <sheetName val="K2A1, K2A2 &amp; K3S"/>
      <sheetName val="K2A3"/>
      <sheetName val="K2A"/>
    </sheetNames>
    <sheetDataSet>
      <sheetData sheetId="0" refreshError="1"/>
      <sheetData sheetId="1" refreshError="1">
        <row r="18">
          <cell r="AF18">
            <v>588.57750665999993</v>
          </cell>
        </row>
        <row r="21">
          <cell r="AF21">
            <v>588.57750665999993</v>
          </cell>
          <cell r="AH21">
            <v>1243.3252406399997</v>
          </cell>
        </row>
        <row r="22">
          <cell r="AF22">
            <v>298.71573832327493</v>
          </cell>
        </row>
        <row r="24">
          <cell r="AF24">
            <v>588.57750665999993</v>
          </cell>
          <cell r="AH24">
            <v>1243.3252406399997</v>
          </cell>
        </row>
        <row r="25">
          <cell r="AF25">
            <v>298.71573832327493</v>
          </cell>
        </row>
      </sheetData>
      <sheetData sheetId="2" refreshError="1">
        <row r="19">
          <cell r="AF19">
            <v>294.28875332999996</v>
          </cell>
        </row>
        <row r="22">
          <cell r="AJ22">
            <v>1143.6075000000001</v>
          </cell>
        </row>
        <row r="25">
          <cell r="AF25">
            <v>294.28875332999996</v>
          </cell>
          <cell r="AJ25">
            <v>1143.6075000000001</v>
          </cell>
        </row>
        <row r="26">
          <cell r="AF26">
            <v>298.71573832327493</v>
          </cell>
        </row>
      </sheetData>
      <sheetData sheetId="3" refreshError="1">
        <row r="18">
          <cell r="AE18">
            <v>6841.4860359999984</v>
          </cell>
        </row>
        <row r="21">
          <cell r="AE21">
            <v>6701.8638719999999</v>
          </cell>
          <cell r="AH21">
            <v>24561.691430399991</v>
          </cell>
        </row>
        <row r="22">
          <cell r="AE22">
            <v>141.72249986999998</v>
          </cell>
        </row>
        <row r="24">
          <cell r="AE24">
            <v>6701.8638719999999</v>
          </cell>
          <cell r="AH24">
            <v>24561.691430399991</v>
          </cell>
        </row>
        <row r="25">
          <cell r="AE25">
            <v>141.72249986999998</v>
          </cell>
        </row>
      </sheetData>
      <sheetData sheetId="4" refreshError="1">
        <row r="18">
          <cell r="AE18">
            <v>977.35514799999987</v>
          </cell>
        </row>
        <row r="21">
          <cell r="AE21">
            <v>698.11081999999988</v>
          </cell>
          <cell r="AH21">
            <v>2558.5095239999991</v>
          </cell>
        </row>
        <row r="22">
          <cell r="AE22">
            <v>141.72249986999998</v>
          </cell>
        </row>
        <row r="24">
          <cell r="AE24">
            <v>698.11081999999988</v>
          </cell>
          <cell r="AH24">
            <v>2558.5095239999991</v>
          </cell>
        </row>
        <row r="25">
          <cell r="AE25">
            <v>141.72249986999998</v>
          </cell>
        </row>
      </sheetData>
      <sheetData sheetId="5" refreshError="1">
        <row r="21">
          <cell r="AE21">
            <v>967.40664000000004</v>
          </cell>
        </row>
        <row r="28">
          <cell r="AE28">
            <v>967.40664000000004</v>
          </cell>
          <cell r="AH28">
            <v>2586.355793279999</v>
          </cell>
        </row>
        <row r="29">
          <cell r="AE29">
            <v>616.01280000000008</v>
          </cell>
          <cell r="AG29">
            <v>508.26903552000005</v>
          </cell>
        </row>
        <row r="30">
          <cell r="AE30">
            <v>245.33894400000003</v>
          </cell>
        </row>
        <row r="31">
          <cell r="AE31">
            <v>130.17219200000002</v>
          </cell>
        </row>
        <row r="32">
          <cell r="AE32">
            <v>152.52980400000001</v>
          </cell>
        </row>
        <row r="33">
          <cell r="AE33">
            <v>80.929422000000017</v>
          </cell>
        </row>
        <row r="35">
          <cell r="AE35">
            <v>967.40664000000004</v>
          </cell>
          <cell r="AH35">
            <v>2586.355793279999</v>
          </cell>
        </row>
        <row r="36">
          <cell r="AE36">
            <v>616.01280000000008</v>
          </cell>
          <cell r="AG36">
            <v>508.26903552000005</v>
          </cell>
        </row>
        <row r="37">
          <cell r="AE37">
            <v>245.33894400000003</v>
          </cell>
        </row>
        <row r="38">
          <cell r="AE38">
            <v>130.17219200000002</v>
          </cell>
        </row>
        <row r="39">
          <cell r="AE39">
            <v>152.52980400000001</v>
          </cell>
        </row>
        <row r="40">
          <cell r="AE40">
            <v>80.929422000000017</v>
          </cell>
        </row>
        <row r="43">
          <cell r="AG43">
            <v>508.26903552000005</v>
          </cell>
        </row>
      </sheetData>
      <sheetData sheetId="6" refreshError="1">
        <row r="21">
          <cell r="AE21">
            <v>483.70332000000002</v>
          </cell>
        </row>
        <row r="28">
          <cell r="AE28">
            <v>483.70332000000002</v>
          </cell>
          <cell r="AH28">
            <v>1293.1778966399995</v>
          </cell>
        </row>
        <row r="29">
          <cell r="AE29">
            <v>308.00640000000004</v>
          </cell>
          <cell r="AG29">
            <v>254.13451776000002</v>
          </cell>
        </row>
        <row r="30">
          <cell r="AE30">
            <v>106.528752</v>
          </cell>
        </row>
        <row r="31">
          <cell r="AE31">
            <v>56.522135999999996</v>
          </cell>
        </row>
        <row r="32">
          <cell r="AE32">
            <v>76.264902000000006</v>
          </cell>
        </row>
        <row r="33">
          <cell r="AE33">
            <v>40.464711000000008</v>
          </cell>
        </row>
        <row r="35">
          <cell r="AE35">
            <v>483.70332000000002</v>
          </cell>
          <cell r="AH35">
            <v>1293.1778966399995</v>
          </cell>
        </row>
        <row r="36">
          <cell r="AE36">
            <v>308.00640000000004</v>
          </cell>
          <cell r="AG36">
            <v>254.13451776000002</v>
          </cell>
        </row>
        <row r="37">
          <cell r="AE37">
            <v>106.528752</v>
          </cell>
        </row>
        <row r="38">
          <cell r="AE38">
            <v>56.522135999999996</v>
          </cell>
        </row>
        <row r="39">
          <cell r="AE39">
            <v>76.264902000000006</v>
          </cell>
        </row>
        <row r="40">
          <cell r="AE40">
            <v>40.464711000000008</v>
          </cell>
        </row>
        <row r="43">
          <cell r="AG43">
            <v>254.13451776000002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eremesh"/>
      <sheetName val="Formwork"/>
    </sheetNames>
    <sheetDataSet>
      <sheetData sheetId="0">
        <row r="16">
          <cell r="T16">
            <v>432.09399999999999</v>
          </cell>
        </row>
        <row r="35">
          <cell r="Q35">
            <v>413.37400000000002</v>
          </cell>
        </row>
        <row r="46">
          <cell r="Q46">
            <v>422.73399999999998</v>
          </cell>
        </row>
        <row r="58">
          <cell r="Q58">
            <v>422.73399999999998</v>
          </cell>
        </row>
        <row r="69">
          <cell r="Q69">
            <v>341.64</v>
          </cell>
        </row>
        <row r="77">
          <cell r="Q77">
            <v>93.600000000000009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6Th Floor Polda "/>
      <sheetName val="Bekisting 1-6 Floor"/>
    </sheetNames>
    <sheetDataSet>
      <sheetData sheetId="0" refreshError="1"/>
      <sheetData sheetId="1" refreshError="1">
        <row r="18">
          <cell r="M18">
            <v>2753.31</v>
          </cell>
        </row>
        <row r="26">
          <cell r="M26">
            <v>2631.4100000000003</v>
          </cell>
        </row>
        <row r="34">
          <cell r="M34">
            <v>2815.8500000000004</v>
          </cell>
        </row>
        <row r="42">
          <cell r="M42">
            <v>2815.8500000000004</v>
          </cell>
        </row>
        <row r="50">
          <cell r="M50">
            <v>2416.23</v>
          </cell>
        </row>
        <row r="54">
          <cell r="M54">
            <v>588.81600000000003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LAT LANTAI (2)"/>
      <sheetName val="BQ1.OK"/>
      <sheetName val="BQ.OK"/>
      <sheetName val="BQ. 1 "/>
      <sheetName val="BQ final"/>
      <sheetName val="Sheet1 (2)"/>
      <sheetName val="BALOK PRINT"/>
      <sheetName val="Rekapprint"/>
      <sheetName val="KOLOM Print"/>
      <sheetName val="PILE CAP"/>
      <sheetName val="SHEAR WALL"/>
      <sheetName val="Sheet4"/>
      <sheetName val="TANGGA"/>
      <sheetName val="Tiang pancang"/>
      <sheetName val="HARGA BAHAN DAN UPAH"/>
      <sheetName val="ANALISA HARGA SATUAN"/>
      <sheetName val="Schedule"/>
      <sheetName val="Cash Flow"/>
      <sheetName val="Gross Floor Area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J9">
            <v>97.92</v>
          </cell>
        </row>
        <row r="11">
          <cell r="J11">
            <v>14309.749999999998</v>
          </cell>
        </row>
        <row r="12">
          <cell r="J12">
            <v>1873.2362219999995</v>
          </cell>
        </row>
        <row r="13">
          <cell r="J13">
            <v>391.68</v>
          </cell>
        </row>
        <row r="16">
          <cell r="J16">
            <v>27.878400000000003</v>
          </cell>
        </row>
        <row r="18">
          <cell r="J18">
            <v>3366.9999999999995</v>
          </cell>
        </row>
        <row r="19">
          <cell r="J19">
            <v>485.78306399999991</v>
          </cell>
        </row>
        <row r="20">
          <cell r="J20">
            <v>161.28</v>
          </cell>
        </row>
        <row r="23">
          <cell r="J23">
            <v>31.68</v>
          </cell>
        </row>
        <row r="25">
          <cell r="J25">
            <v>3327.4757119999999</v>
          </cell>
        </row>
        <row r="26">
          <cell r="J26">
            <v>870.2115839999999</v>
          </cell>
        </row>
        <row r="27">
          <cell r="J27">
            <v>253.44</v>
          </cell>
        </row>
        <row r="30">
          <cell r="J30">
            <v>23.961600000000001</v>
          </cell>
        </row>
        <row r="32">
          <cell r="J32">
            <v>2621.6475306666666</v>
          </cell>
        </row>
        <row r="33">
          <cell r="J33">
            <v>806.78707199999997</v>
          </cell>
        </row>
        <row r="34">
          <cell r="J34">
            <v>239.61599999999999</v>
          </cell>
        </row>
        <row r="37">
          <cell r="J37">
            <v>92.16</v>
          </cell>
        </row>
        <row r="39">
          <cell r="J39">
            <v>3366.9999999999995</v>
          </cell>
        </row>
        <row r="40">
          <cell r="J40">
            <v>881.52292799999975</v>
          </cell>
        </row>
        <row r="41">
          <cell r="J41">
            <v>92.16</v>
          </cell>
        </row>
        <row r="44">
          <cell r="J44">
            <v>22.5792</v>
          </cell>
        </row>
        <row r="46">
          <cell r="J46">
            <v>2805.833333333333</v>
          </cell>
        </row>
        <row r="47">
          <cell r="J47">
            <v>620.84786399999984</v>
          </cell>
        </row>
        <row r="48">
          <cell r="J48">
            <v>64.512</v>
          </cell>
        </row>
        <row r="51">
          <cell r="J51">
            <v>3.5999999999999996</v>
          </cell>
        </row>
        <row r="53">
          <cell r="J53">
            <v>378.12223999999998</v>
          </cell>
        </row>
        <row r="54">
          <cell r="J54">
            <v>98.887679999999989</v>
          </cell>
        </row>
        <row r="55">
          <cell r="J55">
            <v>28.799999999999997</v>
          </cell>
        </row>
        <row r="58">
          <cell r="J58">
            <v>29.491199999999999</v>
          </cell>
        </row>
        <row r="60">
          <cell r="J60">
            <v>4489.333333333333</v>
          </cell>
        </row>
        <row r="61">
          <cell r="J61">
            <v>521.03577599999994</v>
          </cell>
        </row>
        <row r="62">
          <cell r="J62">
            <v>147.45599999999999</v>
          </cell>
        </row>
        <row r="64">
          <cell r="J64">
            <v>4.1471999999999998</v>
          </cell>
        </row>
        <row r="66">
          <cell r="J66">
            <v>595.25915733333329</v>
          </cell>
        </row>
        <row r="67">
          <cell r="J67">
            <v>96.159744000000003</v>
          </cell>
        </row>
        <row r="68">
          <cell r="J68">
            <v>27.648</v>
          </cell>
        </row>
        <row r="71">
          <cell r="J71">
            <v>31.103999999999999</v>
          </cell>
        </row>
        <row r="73">
          <cell r="J73">
            <v>5580.5545999999995</v>
          </cell>
        </row>
        <row r="74">
          <cell r="J74">
            <v>721.19808</v>
          </cell>
        </row>
        <row r="75">
          <cell r="J75">
            <v>207.35999999999999</v>
          </cell>
        </row>
        <row r="78">
          <cell r="J78">
            <v>48.96</v>
          </cell>
        </row>
        <row r="80">
          <cell r="J80">
            <v>7154.8749999999991</v>
          </cell>
        </row>
        <row r="81">
          <cell r="J81">
            <v>1873.2362219999995</v>
          </cell>
        </row>
        <row r="82">
          <cell r="J82">
            <v>195.84</v>
          </cell>
        </row>
        <row r="85">
          <cell r="J85">
            <v>13.939200000000001</v>
          </cell>
        </row>
        <row r="87">
          <cell r="J87">
            <v>1683.4999999999998</v>
          </cell>
        </row>
        <row r="88">
          <cell r="J88">
            <v>485.78306399999991</v>
          </cell>
        </row>
        <row r="89">
          <cell r="J89">
            <v>50.688000000000002</v>
          </cell>
        </row>
        <row r="92">
          <cell r="J92">
            <v>15.12</v>
          </cell>
        </row>
        <row r="94">
          <cell r="J94">
            <v>1588.1134079999999</v>
          </cell>
        </row>
        <row r="95">
          <cell r="J95">
            <v>415.32825599999995</v>
          </cell>
        </row>
        <row r="96">
          <cell r="J96">
            <v>120.96</v>
          </cell>
        </row>
        <row r="99">
          <cell r="J99">
            <v>4.6079999999999997</v>
          </cell>
        </row>
        <row r="101">
          <cell r="J101">
            <v>504.16298666666671</v>
          </cell>
        </row>
        <row r="102">
          <cell r="J102">
            <v>155.15136000000001</v>
          </cell>
        </row>
        <row r="103">
          <cell r="J103">
            <v>46.08</v>
          </cell>
        </row>
        <row r="106">
          <cell r="J106">
            <v>11.52</v>
          </cell>
        </row>
        <row r="108">
          <cell r="J108">
            <v>1683.4999999999998</v>
          </cell>
        </row>
        <row r="109">
          <cell r="J109">
            <v>440.76146399999988</v>
          </cell>
        </row>
        <row r="110">
          <cell r="J110">
            <v>46.08</v>
          </cell>
        </row>
        <row r="113">
          <cell r="J113">
            <v>11.2896</v>
          </cell>
        </row>
        <row r="115">
          <cell r="J115">
            <v>1402.9166666666665</v>
          </cell>
        </row>
        <row r="116">
          <cell r="J116">
            <v>310.42393199999992</v>
          </cell>
        </row>
        <row r="117">
          <cell r="J117">
            <v>32.256</v>
          </cell>
        </row>
        <row r="120">
          <cell r="J120">
            <v>14.7456</v>
          </cell>
        </row>
        <row r="122">
          <cell r="J122">
            <v>2244.6666666666665</v>
          </cell>
        </row>
        <row r="123">
          <cell r="J123">
            <v>260.51788799999997</v>
          </cell>
        </row>
        <row r="124">
          <cell r="J124">
            <v>73.727999999999994</v>
          </cell>
        </row>
        <row r="127">
          <cell r="J127">
            <v>2.0735999999999999</v>
          </cell>
        </row>
        <row r="129">
          <cell r="J129">
            <v>297.62957866666665</v>
          </cell>
        </row>
        <row r="130">
          <cell r="J130">
            <v>48.079872000000002</v>
          </cell>
        </row>
        <row r="131">
          <cell r="J131">
            <v>13.824</v>
          </cell>
        </row>
        <row r="134">
          <cell r="J134">
            <v>15.552</v>
          </cell>
        </row>
        <row r="136">
          <cell r="J136">
            <v>2790.2772999999997</v>
          </cell>
        </row>
        <row r="137">
          <cell r="J137">
            <v>360.59904</v>
          </cell>
        </row>
        <row r="138">
          <cell r="J138">
            <v>103.67999999999999</v>
          </cell>
        </row>
        <row r="142">
          <cell r="J142">
            <v>79.315200000000004</v>
          </cell>
        </row>
        <row r="144">
          <cell r="J144">
            <v>11924.791666666666</v>
          </cell>
        </row>
        <row r="145">
          <cell r="J145">
            <v>3363.7888439999997</v>
          </cell>
        </row>
        <row r="146">
          <cell r="J146">
            <v>352.512</v>
          </cell>
        </row>
        <row r="149">
          <cell r="J149">
            <v>23.04</v>
          </cell>
        </row>
        <row r="151">
          <cell r="J151">
            <v>3366.9999999999995</v>
          </cell>
        </row>
        <row r="152">
          <cell r="J152">
            <v>881.52292799999975</v>
          </cell>
        </row>
        <row r="153">
          <cell r="J153">
            <v>92.16</v>
          </cell>
        </row>
        <row r="156">
          <cell r="J156">
            <v>31.68</v>
          </cell>
        </row>
        <row r="158">
          <cell r="J158">
            <v>2218.3171413333334</v>
          </cell>
        </row>
        <row r="159">
          <cell r="J159">
            <v>870.2115839999999</v>
          </cell>
        </row>
        <row r="160">
          <cell r="J160">
            <v>126.72</v>
          </cell>
        </row>
        <row r="163">
          <cell r="J163">
            <v>9.2159999999999993</v>
          </cell>
        </row>
        <row r="165">
          <cell r="J165">
            <v>1008.3259733333334</v>
          </cell>
        </row>
        <row r="166">
          <cell r="J166">
            <v>310.30272000000002</v>
          </cell>
        </row>
        <row r="167">
          <cell r="J167">
            <v>92.16</v>
          </cell>
        </row>
        <row r="170">
          <cell r="J170">
            <v>18.662400000000002</v>
          </cell>
        </row>
        <row r="172">
          <cell r="J172">
            <v>2805.833333333333</v>
          </cell>
        </row>
        <row r="173">
          <cell r="J173">
            <v>791.47972799999991</v>
          </cell>
        </row>
        <row r="174">
          <cell r="J174">
            <v>82.944000000000003</v>
          </cell>
        </row>
        <row r="177">
          <cell r="J177">
            <v>8.9855999999999998</v>
          </cell>
        </row>
        <row r="179">
          <cell r="J179">
            <v>2244.6666666666665</v>
          </cell>
        </row>
        <row r="180">
          <cell r="J180">
            <v>553.31546399999991</v>
          </cell>
        </row>
        <row r="181">
          <cell r="J181">
            <v>57.599999999999994</v>
          </cell>
        </row>
        <row r="184">
          <cell r="J184">
            <v>29.491199999999999</v>
          </cell>
        </row>
        <row r="186">
          <cell r="J186">
            <v>4489.333333333333</v>
          </cell>
        </row>
        <row r="187">
          <cell r="J187">
            <v>521.03577599999994</v>
          </cell>
        </row>
        <row r="188">
          <cell r="J188">
            <v>147.45599999999999</v>
          </cell>
        </row>
        <row r="191">
          <cell r="J191">
            <v>4.1471999999999998</v>
          </cell>
        </row>
        <row r="193">
          <cell r="J193">
            <v>595.25915733333329</v>
          </cell>
        </row>
        <row r="194">
          <cell r="J194">
            <v>96.159744000000003</v>
          </cell>
        </row>
        <row r="195">
          <cell r="J195">
            <v>27.648</v>
          </cell>
        </row>
        <row r="198">
          <cell r="J198">
            <v>31.103999999999999</v>
          </cell>
        </row>
        <row r="200">
          <cell r="J200">
            <v>5580.5545999999995</v>
          </cell>
        </row>
        <row r="201">
          <cell r="J201">
            <v>721.19808</v>
          </cell>
        </row>
        <row r="202">
          <cell r="J202">
            <v>207.35999999999999</v>
          </cell>
        </row>
        <row r="206">
          <cell r="J206">
            <v>17.625599999999999</v>
          </cell>
        </row>
        <row r="208">
          <cell r="J208">
            <v>4769.9166666666661</v>
          </cell>
        </row>
        <row r="209">
          <cell r="J209">
            <v>440.76146399999988</v>
          </cell>
        </row>
        <row r="210">
          <cell r="J210">
            <v>117.504</v>
          </cell>
        </row>
        <row r="213">
          <cell r="J213">
            <v>11.52</v>
          </cell>
        </row>
        <row r="215">
          <cell r="J215">
            <v>1683.4999999999998</v>
          </cell>
        </row>
        <row r="216">
          <cell r="J216">
            <v>440.76146399999988</v>
          </cell>
        </row>
        <row r="217">
          <cell r="J217">
            <v>46.08</v>
          </cell>
        </row>
        <row r="220">
          <cell r="J220">
            <v>4.1471999999999998</v>
          </cell>
        </row>
        <row r="222">
          <cell r="J222">
            <v>1122.3333333333333</v>
          </cell>
        </row>
        <row r="223">
          <cell r="J223">
            <v>260.67506399999996</v>
          </cell>
        </row>
        <row r="224">
          <cell r="J224">
            <v>27.648</v>
          </cell>
        </row>
        <row r="227">
          <cell r="J227">
            <v>8.2943999999999996</v>
          </cell>
        </row>
        <row r="229">
          <cell r="J229">
            <v>982.04166666666652</v>
          </cell>
        </row>
        <row r="230">
          <cell r="J230">
            <v>265.40233199999994</v>
          </cell>
        </row>
        <row r="231">
          <cell r="J231">
            <v>50.688000000000002</v>
          </cell>
        </row>
        <row r="235">
          <cell r="J235">
            <v>17.625599999999999</v>
          </cell>
        </row>
        <row r="237">
          <cell r="J237">
            <v>4769.9166666666661</v>
          </cell>
        </row>
        <row r="238">
          <cell r="J238">
            <v>1107.8690219999999</v>
          </cell>
        </row>
        <row r="239">
          <cell r="J239">
            <v>117.504</v>
          </cell>
        </row>
        <row r="242">
          <cell r="J242">
            <v>11.52</v>
          </cell>
        </row>
        <row r="244">
          <cell r="J244">
            <v>1683.4999999999998</v>
          </cell>
        </row>
        <row r="245">
          <cell r="J245">
            <v>440.76146399999988</v>
          </cell>
        </row>
        <row r="246">
          <cell r="J246">
            <v>46.08</v>
          </cell>
        </row>
        <row r="249">
          <cell r="J249">
            <v>4.1471999999999998</v>
          </cell>
        </row>
        <row r="251">
          <cell r="J251">
            <v>1122.3333333333333</v>
          </cell>
        </row>
        <row r="252">
          <cell r="J252">
            <v>260.67506399999996</v>
          </cell>
        </row>
        <row r="253">
          <cell r="J253">
            <v>27.648</v>
          </cell>
        </row>
        <row r="256">
          <cell r="J256">
            <v>8.2943999999999996</v>
          </cell>
        </row>
        <row r="258">
          <cell r="J258">
            <v>982.04166666666652</v>
          </cell>
        </row>
        <row r="259">
          <cell r="J259">
            <v>265.40233199999994</v>
          </cell>
        </row>
        <row r="260">
          <cell r="J260">
            <v>27.648</v>
          </cell>
        </row>
        <row r="264">
          <cell r="J264">
            <v>71.97120000000001</v>
          </cell>
        </row>
        <row r="266">
          <cell r="J266">
            <v>7154.8749999999991</v>
          </cell>
        </row>
        <row r="267">
          <cell r="J267">
            <v>3794.7771279999993</v>
          </cell>
        </row>
        <row r="268">
          <cell r="J268">
            <v>3897.6324659999991</v>
          </cell>
        </row>
        <row r="269">
          <cell r="J269">
            <v>411.26400000000001</v>
          </cell>
        </row>
        <row r="272">
          <cell r="J272">
            <v>71.97120000000001</v>
          </cell>
        </row>
        <row r="274">
          <cell r="J274">
            <v>7154.8749999999991</v>
          </cell>
        </row>
        <row r="275">
          <cell r="J275">
            <v>3897.6324659999991</v>
          </cell>
        </row>
        <row r="276">
          <cell r="J276">
            <v>411.26400000000001</v>
          </cell>
        </row>
        <row r="279">
          <cell r="J279">
            <v>27.993600000000001</v>
          </cell>
        </row>
        <row r="281">
          <cell r="J281">
            <v>3367</v>
          </cell>
        </row>
        <row r="282">
          <cell r="J282">
            <v>1187.2195919999999</v>
          </cell>
        </row>
        <row r="283">
          <cell r="J283">
            <v>124.416</v>
          </cell>
        </row>
        <row r="286">
          <cell r="J286">
            <v>16.9344</v>
          </cell>
        </row>
        <row r="288">
          <cell r="J288">
            <v>841.75</v>
          </cell>
        </row>
        <row r="289">
          <cell r="J289">
            <v>917.08999199999994</v>
          </cell>
        </row>
        <row r="290">
          <cell r="J290">
            <v>96.768000000000001</v>
          </cell>
        </row>
        <row r="293">
          <cell r="J293">
            <v>52.876799999999996</v>
          </cell>
        </row>
        <row r="295">
          <cell r="J295">
            <v>7154.8749999999991</v>
          </cell>
        </row>
        <row r="296">
          <cell r="J296">
            <v>3794.7771279999993</v>
          </cell>
        </row>
        <row r="297">
          <cell r="J297">
            <v>3323.6070659999996</v>
          </cell>
        </row>
        <row r="298">
          <cell r="J298">
            <v>352.512</v>
          </cell>
        </row>
        <row r="301">
          <cell r="J301">
            <v>22.118400000000001</v>
          </cell>
        </row>
        <row r="303">
          <cell r="J303">
            <v>3367</v>
          </cell>
        </row>
        <row r="304">
          <cell r="J304">
            <v>1052.154792</v>
          </cell>
        </row>
        <row r="305">
          <cell r="J305">
            <v>110.59199999999998</v>
          </cell>
        </row>
        <row r="308">
          <cell r="J308">
            <v>12.441599999999999</v>
          </cell>
        </row>
        <row r="310">
          <cell r="J310">
            <v>841.75</v>
          </cell>
        </row>
        <row r="311">
          <cell r="J311">
            <v>782.02519199999983</v>
          </cell>
        </row>
        <row r="312">
          <cell r="J312">
            <v>82.944000000000003</v>
          </cell>
        </row>
        <row r="315">
          <cell r="J315">
            <v>17.28</v>
          </cell>
        </row>
        <row r="317">
          <cell r="J317">
            <v>420.875</v>
          </cell>
        </row>
        <row r="318">
          <cell r="J318">
            <v>661.14219599999979</v>
          </cell>
        </row>
        <row r="319">
          <cell r="J319">
            <v>69.12</v>
          </cell>
        </row>
        <row r="323">
          <cell r="J323">
            <v>36.72</v>
          </cell>
        </row>
        <row r="325">
          <cell r="J325">
            <v>5142.4624640000002</v>
          </cell>
        </row>
        <row r="326">
          <cell r="J326">
            <v>1596.4019999999996</v>
          </cell>
        </row>
        <row r="327">
          <cell r="J327">
            <v>293.76</v>
          </cell>
        </row>
        <row r="330">
          <cell r="J330">
            <v>12.441599999999999</v>
          </cell>
        </row>
        <row r="332">
          <cell r="J332">
            <v>383.23199999999997</v>
          </cell>
        </row>
        <row r="333">
          <cell r="J333">
            <v>401.08799999999997</v>
          </cell>
        </row>
        <row r="334">
          <cell r="J334">
            <v>455.54399999999987</v>
          </cell>
        </row>
        <row r="335">
          <cell r="J335">
            <v>293.76</v>
          </cell>
        </row>
        <row r="338">
          <cell r="J338">
            <v>8.64</v>
          </cell>
        </row>
        <row r="340">
          <cell r="J340">
            <v>595.25915733333329</v>
          </cell>
        </row>
        <row r="341">
          <cell r="J341">
            <v>375.62399999999997</v>
          </cell>
        </row>
        <row r="342">
          <cell r="J342">
            <v>69.12</v>
          </cell>
        </row>
        <row r="345">
          <cell r="J345">
            <v>3.6863999999999999</v>
          </cell>
        </row>
        <row r="347">
          <cell r="J347">
            <v>1683.5</v>
          </cell>
        </row>
        <row r="348">
          <cell r="J348">
            <v>307.69199999999995</v>
          </cell>
        </row>
        <row r="349">
          <cell r="J349">
            <v>55.295999999999992</v>
          </cell>
        </row>
        <row r="353">
          <cell r="J353">
            <v>24.48</v>
          </cell>
        </row>
        <row r="355">
          <cell r="J355">
            <v>3428.3083093333335</v>
          </cell>
        </row>
        <row r="356">
          <cell r="J356">
            <v>1064.2679999999998</v>
          </cell>
        </row>
        <row r="357">
          <cell r="J357">
            <v>195.84</v>
          </cell>
        </row>
        <row r="360">
          <cell r="J360">
            <v>8.2943999999999996</v>
          </cell>
        </row>
        <row r="362">
          <cell r="J362">
            <v>510.976</v>
          </cell>
        </row>
        <row r="363">
          <cell r="J363">
            <v>303.69599999999991</v>
          </cell>
        </row>
        <row r="364">
          <cell r="J364">
            <v>195.84</v>
          </cell>
        </row>
        <row r="367">
          <cell r="J367">
            <v>5.76</v>
          </cell>
        </row>
        <row r="369">
          <cell r="J369">
            <v>1190.5183146666666</v>
          </cell>
        </row>
        <row r="370">
          <cell r="J370">
            <v>250.41599999999997</v>
          </cell>
        </row>
        <row r="371">
          <cell r="J371">
            <v>46.08</v>
          </cell>
        </row>
        <row r="374">
          <cell r="J374">
            <v>2.8224</v>
          </cell>
        </row>
        <row r="376">
          <cell r="J376">
            <v>595.25915733333329</v>
          </cell>
        </row>
        <row r="377">
          <cell r="J377">
            <v>178.48799999999994</v>
          </cell>
        </row>
        <row r="378">
          <cell r="J378">
            <v>32.256</v>
          </cell>
        </row>
        <row r="426">
          <cell r="J426">
            <v>601.99439999999981</v>
          </cell>
        </row>
        <row r="428">
          <cell r="J428">
            <v>4206.4375</v>
          </cell>
        </row>
        <row r="429">
          <cell r="J429">
            <v>97787.288406666659</v>
          </cell>
        </row>
        <row r="430">
          <cell r="J430">
            <v>15538.268547999998</v>
          </cell>
        </row>
        <row r="431">
          <cell r="J431">
            <v>23975.728469333339</v>
          </cell>
        </row>
        <row r="432">
          <cell r="J432">
            <v>4405.1040000000003</v>
          </cell>
        </row>
        <row r="436">
          <cell r="J436">
            <v>153.6148</v>
          </cell>
        </row>
        <row r="438">
          <cell r="J438">
            <v>963.33478733333322</v>
          </cell>
        </row>
        <row r="439">
          <cell r="J439">
            <v>10477.293379333332</v>
          </cell>
        </row>
        <row r="440">
          <cell r="J440">
            <v>21696.360341333333</v>
          </cell>
        </row>
        <row r="441">
          <cell r="J441">
            <v>6021.9305599999998</v>
          </cell>
        </row>
        <row r="442">
          <cell r="J442">
            <v>1099.4800000000002</v>
          </cell>
        </row>
        <row r="446">
          <cell r="J446">
            <v>271.70959999999997</v>
          </cell>
        </row>
        <row r="448">
          <cell r="J448">
            <v>1992.6</v>
          </cell>
        </row>
        <row r="449">
          <cell r="J449">
            <v>30716.641749333328</v>
          </cell>
        </row>
        <row r="450">
          <cell r="J450">
            <v>9731.5182986666659</v>
          </cell>
        </row>
        <row r="451">
          <cell r="J451">
            <v>10582.254954666663</v>
          </cell>
        </row>
        <row r="452">
          <cell r="J452">
            <v>1931.5039999999999</v>
          </cell>
        </row>
        <row r="456">
          <cell r="J456">
            <v>201.97799999999998</v>
          </cell>
        </row>
        <row r="458">
          <cell r="J458">
            <v>3698.84375</v>
          </cell>
        </row>
        <row r="459">
          <cell r="J459">
            <v>20354.309760000004</v>
          </cell>
        </row>
        <row r="460">
          <cell r="J460">
            <v>7387.1476799999982</v>
          </cell>
        </row>
        <row r="461">
          <cell r="J461">
            <v>1514.3280000000004</v>
          </cell>
        </row>
        <row r="465">
          <cell r="J465">
            <v>685.24200000000019</v>
          </cell>
        </row>
        <row r="467">
          <cell r="J467">
            <v>27237.395833333336</v>
          </cell>
        </row>
        <row r="468">
          <cell r="J468">
            <v>8940.997706666667</v>
          </cell>
        </row>
        <row r="469">
          <cell r="J469">
            <v>50684.040533333347</v>
          </cell>
        </row>
        <row r="470">
          <cell r="J470">
            <v>26673.15989333333</v>
          </cell>
        </row>
        <row r="471">
          <cell r="J471">
            <v>4845.1200000000008</v>
          </cell>
        </row>
        <row r="476">
          <cell r="J476">
            <v>53.515199999999993</v>
          </cell>
        </row>
        <row r="478">
          <cell r="J478">
            <v>2959.5677460317456</v>
          </cell>
        </row>
        <row r="479">
          <cell r="J479">
            <v>496.26400000000001</v>
          </cell>
        </row>
        <row r="482">
          <cell r="J482">
            <v>11.755146666666667</v>
          </cell>
        </row>
        <row r="484">
          <cell r="J484">
            <v>1479.7838730158728</v>
          </cell>
        </row>
        <row r="485">
          <cell r="J485">
            <v>113.79955555555557</v>
          </cell>
        </row>
        <row r="488">
          <cell r="J488">
            <v>47.020586666666667</v>
          </cell>
        </row>
        <row r="490">
          <cell r="J490">
            <v>5919.1354920634913</v>
          </cell>
        </row>
        <row r="491">
          <cell r="J491">
            <v>455.19822222222228</v>
          </cell>
        </row>
        <row r="494">
          <cell r="J494">
            <v>1159.9536000000001</v>
          </cell>
        </row>
        <row r="496">
          <cell r="J496">
            <v>349090.55999999988</v>
          </cell>
        </row>
        <row r="497">
          <cell r="J497">
            <v>1071.3040000000001</v>
          </cell>
        </row>
        <row r="508">
          <cell r="J508">
            <v>38.717999999999996</v>
          </cell>
        </row>
        <row r="510">
          <cell r="J510">
            <v>9862.1065399999989</v>
          </cell>
        </row>
        <row r="511">
          <cell r="J511">
            <v>1835.3109359999999</v>
          </cell>
        </row>
        <row r="512">
          <cell r="J512">
            <v>258.12</v>
          </cell>
        </row>
        <row r="515">
          <cell r="J515">
            <v>70.98299999999999</v>
          </cell>
        </row>
        <row r="517">
          <cell r="J517">
            <v>18080.528656666665</v>
          </cell>
        </row>
        <row r="518">
          <cell r="J518">
            <v>3364.7367159999999</v>
          </cell>
        </row>
        <row r="519">
          <cell r="J519">
            <v>473.22</v>
          </cell>
        </row>
      </sheetData>
      <sheetData sheetId="8">
        <row r="11">
          <cell r="I11">
            <v>48.96</v>
          </cell>
          <cell r="J11">
            <v>195.84</v>
          </cell>
          <cell r="AP11">
            <v>7154.8749999999991</v>
          </cell>
          <cell r="AR11">
            <v>1873.2362219999995</v>
          </cell>
        </row>
        <row r="12">
          <cell r="I12">
            <v>13.939200000000001</v>
          </cell>
          <cell r="J12">
            <v>50.688000000000002</v>
          </cell>
          <cell r="AP12">
            <v>1683.4999999999998</v>
          </cell>
        </row>
        <row r="13">
          <cell r="I13">
            <v>15.84</v>
          </cell>
          <cell r="J13">
            <v>126.72</v>
          </cell>
          <cell r="AP13">
            <v>1663.737856</v>
          </cell>
          <cell r="AR13">
            <v>435.10579199999995</v>
          </cell>
        </row>
        <row r="14">
          <cell r="I14">
            <v>11.9808</v>
          </cell>
          <cell r="J14">
            <v>119.80799999999999</v>
          </cell>
          <cell r="AP14">
            <v>1310.8237653333333</v>
          </cell>
          <cell r="AR14">
            <v>403.39353599999998</v>
          </cell>
        </row>
        <row r="15">
          <cell r="J15">
            <v>46.08</v>
          </cell>
          <cell r="AP15">
            <v>1683.4999999999998</v>
          </cell>
          <cell r="AR15">
            <v>440.76146399999988</v>
          </cell>
        </row>
        <row r="16">
          <cell r="I16">
            <v>11.2896</v>
          </cell>
          <cell r="J16">
            <v>32.256</v>
          </cell>
          <cell r="AP16">
            <v>1402.9166666666665</v>
          </cell>
          <cell r="AR16">
            <v>310.42393199999992</v>
          </cell>
        </row>
        <row r="17">
          <cell r="I17">
            <v>3.5999999999999996</v>
          </cell>
          <cell r="J17">
            <v>28.799999999999997</v>
          </cell>
          <cell r="AP17">
            <v>378.12223999999998</v>
          </cell>
          <cell r="AR17">
            <v>98.887679999999989</v>
          </cell>
        </row>
        <row r="18">
          <cell r="I18">
            <v>14.7456</v>
          </cell>
          <cell r="J18">
            <v>73.727999999999994</v>
          </cell>
          <cell r="AP18">
            <v>2244.6666666666665</v>
          </cell>
          <cell r="AR18">
            <v>260.51788799999997</v>
          </cell>
        </row>
        <row r="19">
          <cell r="I19">
            <v>2.0735999999999999</v>
          </cell>
          <cell r="J19">
            <v>13.824</v>
          </cell>
          <cell r="AP19">
            <v>297.62957866666665</v>
          </cell>
          <cell r="AR19">
            <v>48.079872000000002</v>
          </cell>
        </row>
        <row r="20">
          <cell r="I20">
            <v>15.552</v>
          </cell>
          <cell r="J20">
            <v>103.67999999999999</v>
          </cell>
          <cell r="AP20">
            <v>2790.2772999999997</v>
          </cell>
          <cell r="AR20">
            <v>360.59904</v>
          </cell>
        </row>
        <row r="27">
          <cell r="I27">
            <v>48.96</v>
          </cell>
        </row>
        <row r="28">
          <cell r="J28">
            <v>50.688000000000002</v>
          </cell>
          <cell r="AR28">
            <v>485.78306399999991</v>
          </cell>
        </row>
        <row r="34">
          <cell r="J34">
            <v>13.824</v>
          </cell>
        </row>
        <row r="44">
          <cell r="J44">
            <v>195.84</v>
          </cell>
          <cell r="AP44">
            <v>7154.8749999999991</v>
          </cell>
          <cell r="AR44">
            <v>1873.2362219999995</v>
          </cell>
        </row>
        <row r="45">
          <cell r="I45">
            <v>13.939200000000001</v>
          </cell>
          <cell r="J45">
            <v>50.688000000000002</v>
          </cell>
          <cell r="AP45">
            <v>1683.4999999999998</v>
          </cell>
          <cell r="AR45">
            <v>485.78306399999991</v>
          </cell>
        </row>
        <row r="46">
          <cell r="I46">
            <v>15.12</v>
          </cell>
          <cell r="J46">
            <v>120.96</v>
          </cell>
          <cell r="AP46">
            <v>1588.1134079999999</v>
          </cell>
          <cell r="AR46">
            <v>415.32825599999995</v>
          </cell>
        </row>
        <row r="47">
          <cell r="I47">
            <v>4.6079999999999997</v>
          </cell>
          <cell r="J47">
            <v>46.08</v>
          </cell>
          <cell r="AP47">
            <v>504.16298666666671</v>
          </cell>
          <cell r="AR47">
            <v>155.15136000000001</v>
          </cell>
        </row>
        <row r="48">
          <cell r="I48">
            <v>11.52</v>
          </cell>
          <cell r="J48">
            <v>46.08</v>
          </cell>
          <cell r="AP48">
            <v>1683.4999999999998</v>
          </cell>
          <cell r="AR48">
            <v>440.76146399999988</v>
          </cell>
        </row>
        <row r="49">
          <cell r="I49">
            <v>11.2896</v>
          </cell>
          <cell r="J49">
            <v>32.256</v>
          </cell>
          <cell r="AP49">
            <v>1402.9166666666665</v>
          </cell>
          <cell r="AR49">
            <v>310.42393199999992</v>
          </cell>
        </row>
        <row r="50">
          <cell r="I50">
            <v>14.7456</v>
          </cell>
          <cell r="J50">
            <v>73.727999999999994</v>
          </cell>
          <cell r="AP50">
            <v>2244.6666666666665</v>
          </cell>
          <cell r="AR50">
            <v>260.51788799999997</v>
          </cell>
        </row>
        <row r="51">
          <cell r="I51">
            <v>2.0735999999999999</v>
          </cell>
          <cell r="J51">
            <v>13.824</v>
          </cell>
          <cell r="AP51">
            <v>297.62957866666665</v>
          </cell>
          <cell r="AR51">
            <v>48.079872000000002</v>
          </cell>
        </row>
        <row r="52">
          <cell r="I52">
            <v>15.552</v>
          </cell>
          <cell r="J52">
            <v>103.67999999999999</v>
          </cell>
          <cell r="AP52">
            <v>2790.2772999999997</v>
          </cell>
          <cell r="AR52">
            <v>360.59904</v>
          </cell>
        </row>
        <row r="60">
          <cell r="I60">
            <v>39.657600000000002</v>
          </cell>
          <cell r="J60">
            <v>176.256</v>
          </cell>
          <cell r="AP60">
            <v>5962.395833333333</v>
          </cell>
          <cell r="AR60">
            <v>1681.8944219999998</v>
          </cell>
        </row>
        <row r="61">
          <cell r="I61">
            <v>11.52</v>
          </cell>
          <cell r="J61">
            <v>46.08</v>
          </cell>
          <cell r="AP61">
            <v>1683.4999999999998</v>
          </cell>
          <cell r="AR61">
            <v>440.76146399999988</v>
          </cell>
        </row>
        <row r="62">
          <cell r="I62">
            <v>15.84</v>
          </cell>
          <cell r="J62">
            <v>126.72</v>
          </cell>
          <cell r="AP62">
            <v>1109.1585706666667</v>
          </cell>
          <cell r="AR62">
            <v>435.10579199999995</v>
          </cell>
        </row>
        <row r="63">
          <cell r="I63">
            <v>4.6079999999999997</v>
          </cell>
          <cell r="J63">
            <v>46.08</v>
          </cell>
          <cell r="AP63">
            <v>504.16298666666671</v>
          </cell>
          <cell r="AR63">
            <v>155.15136000000001</v>
          </cell>
        </row>
        <row r="64">
          <cell r="I64">
            <v>9.3312000000000008</v>
          </cell>
          <cell r="J64">
            <v>41.472000000000001</v>
          </cell>
          <cell r="AP64">
            <v>1402.9166666666665</v>
          </cell>
          <cell r="AR64">
            <v>395.73986399999995</v>
          </cell>
        </row>
        <row r="65">
          <cell r="I65">
            <v>8.9855999999999998</v>
          </cell>
          <cell r="J65">
            <v>28.799999999999997</v>
          </cell>
          <cell r="AP65">
            <v>1122.3333333333333</v>
          </cell>
          <cell r="AR65">
            <v>276.65773199999995</v>
          </cell>
        </row>
        <row r="66">
          <cell r="I66">
            <v>14.7456</v>
          </cell>
          <cell r="J66">
            <v>73.727999999999994</v>
          </cell>
          <cell r="AP66">
            <v>2244.6666666666665</v>
          </cell>
          <cell r="AR66">
            <v>260.51788799999997</v>
          </cell>
        </row>
        <row r="67">
          <cell r="I67">
            <v>2.0735999999999999</v>
          </cell>
          <cell r="J67">
            <v>13.824</v>
          </cell>
          <cell r="AP67">
            <v>297.62957866666665</v>
          </cell>
          <cell r="AR67">
            <v>48.079872000000002</v>
          </cell>
        </row>
        <row r="68">
          <cell r="I68">
            <v>15.552</v>
          </cell>
          <cell r="J68">
            <v>103.67999999999999</v>
          </cell>
          <cell r="AP68">
            <v>2790.2772999999997</v>
          </cell>
          <cell r="AR68">
            <v>360.59904</v>
          </cell>
        </row>
        <row r="92">
          <cell r="I92">
            <v>17.625599999999999</v>
          </cell>
          <cell r="J92">
            <v>117.504</v>
          </cell>
          <cell r="AP92">
            <v>4769.9166666666661</v>
          </cell>
        </row>
        <row r="93">
          <cell r="I93">
            <v>11.52</v>
          </cell>
          <cell r="J93">
            <v>46.08</v>
          </cell>
          <cell r="AP93">
            <v>1683.4999999999998</v>
          </cell>
          <cell r="AR93">
            <v>440.76146399999988</v>
          </cell>
        </row>
        <row r="94">
          <cell r="I94">
            <v>4.1471999999999998</v>
          </cell>
          <cell r="J94">
            <v>27.648</v>
          </cell>
          <cell r="AP94">
            <v>1122.3333333333333</v>
          </cell>
          <cell r="AR94">
            <v>260.67506399999996</v>
          </cell>
        </row>
        <row r="95">
          <cell r="I95">
            <v>8.2943999999999996</v>
          </cell>
          <cell r="AP95">
            <v>982.04166666666652</v>
          </cell>
          <cell r="AR95">
            <v>265.40233199999994</v>
          </cell>
        </row>
        <row r="102">
          <cell r="I102">
            <v>17.625599999999999</v>
          </cell>
          <cell r="J102">
            <v>117.504</v>
          </cell>
          <cell r="AP102">
            <v>4769.9166666666661</v>
          </cell>
          <cell r="AR102">
            <v>1107.8690219999999</v>
          </cell>
        </row>
        <row r="103">
          <cell r="I103">
            <v>11.52</v>
          </cell>
          <cell r="J103">
            <v>46.08</v>
          </cell>
          <cell r="AP103">
            <v>1683.4999999999998</v>
          </cell>
          <cell r="AR103">
            <v>440.76146399999988</v>
          </cell>
        </row>
        <row r="104">
          <cell r="I104">
            <v>4.1471999999999998</v>
          </cell>
          <cell r="J104">
            <v>27.648</v>
          </cell>
          <cell r="AP104">
            <v>1122.3333333333333</v>
          </cell>
          <cell r="AR104">
            <v>260.67506399999996</v>
          </cell>
        </row>
        <row r="105">
          <cell r="I105">
            <v>8.2943999999999996</v>
          </cell>
          <cell r="J105">
            <v>27.648</v>
          </cell>
          <cell r="AP105">
            <v>982.04166666666652</v>
          </cell>
          <cell r="AR105">
            <v>265.40233199999994</v>
          </cell>
        </row>
        <row r="112">
          <cell r="I112">
            <v>23.990400000000001</v>
          </cell>
          <cell r="J112">
            <v>137.08799999999999</v>
          </cell>
          <cell r="AP112">
            <v>2384.958333333333</v>
          </cell>
          <cell r="AQ112">
            <v>1264.9257093333331</v>
          </cell>
          <cell r="AR112">
            <v>1299.2108219999998</v>
          </cell>
        </row>
        <row r="115">
          <cell r="J115">
            <v>25.344000000000001</v>
          </cell>
        </row>
        <row r="132">
          <cell r="I132">
            <v>23.990400000000001</v>
          </cell>
          <cell r="J132">
            <v>137.08799999999999</v>
          </cell>
          <cell r="AP132">
            <v>2384.958333333333</v>
          </cell>
          <cell r="AR132">
            <v>1299.2108219999998</v>
          </cell>
        </row>
        <row r="133">
          <cell r="I133">
            <v>9.3312000000000008</v>
          </cell>
          <cell r="J133">
            <v>41.472000000000001</v>
          </cell>
          <cell r="AP133">
            <v>1122.3333333333333</v>
          </cell>
          <cell r="AR133">
            <v>395.73986399999995</v>
          </cell>
        </row>
        <row r="134">
          <cell r="I134">
            <v>5.6448</v>
          </cell>
          <cell r="J134">
            <v>32.256</v>
          </cell>
          <cell r="AP134">
            <v>280.58333333333331</v>
          </cell>
          <cell r="AR134">
            <v>305.696664</v>
          </cell>
        </row>
        <row r="142">
          <cell r="I142">
            <v>17.625599999999999</v>
          </cell>
          <cell r="J142">
            <v>117.504</v>
          </cell>
          <cell r="AP142">
            <v>2384.958333333333</v>
          </cell>
          <cell r="AQ142">
            <v>1264.9257093333331</v>
          </cell>
          <cell r="AR142">
            <v>1107.8690219999999</v>
          </cell>
        </row>
        <row r="143">
          <cell r="I143">
            <v>7.3727999999999998</v>
          </cell>
          <cell r="J143">
            <v>36.863999999999997</v>
          </cell>
          <cell r="AP143">
            <v>1122.3333333333333</v>
          </cell>
          <cell r="AR143">
            <v>350.71826400000003</v>
          </cell>
        </row>
        <row r="144">
          <cell r="I144">
            <v>4.1471999999999998</v>
          </cell>
          <cell r="J144">
            <v>27.648</v>
          </cell>
          <cell r="AP144">
            <v>280.58333333333331</v>
          </cell>
          <cell r="AR144">
            <v>260.67506399999996</v>
          </cell>
        </row>
        <row r="145">
          <cell r="I145">
            <v>5.76</v>
          </cell>
          <cell r="J145">
            <v>23.04</v>
          </cell>
          <cell r="AP145">
            <v>140.29166666666666</v>
          </cell>
          <cell r="AR145">
            <v>220.38073199999994</v>
          </cell>
        </row>
        <row r="172">
          <cell r="I172">
            <v>12.24</v>
          </cell>
          <cell r="J172">
            <v>97.92</v>
          </cell>
          <cell r="AP172">
            <v>1714.1541546666667</v>
          </cell>
          <cell r="AR172">
            <v>532.1339999999999</v>
          </cell>
        </row>
        <row r="173">
          <cell r="I173">
            <v>4.1471999999999998</v>
          </cell>
          <cell r="AF173">
            <v>127.744</v>
          </cell>
          <cell r="AG173">
            <v>133.696</v>
          </cell>
          <cell r="AR173">
            <v>151.84799999999996</v>
          </cell>
        </row>
        <row r="174">
          <cell r="I174">
            <v>2.88</v>
          </cell>
          <cell r="J174">
            <v>23.04</v>
          </cell>
          <cell r="AP174">
            <v>595.25915733333329</v>
          </cell>
          <cell r="AR174">
            <v>125.20799999999998</v>
          </cell>
        </row>
        <row r="175">
          <cell r="I175">
            <v>3.6863999999999999</v>
          </cell>
        </row>
        <row r="195">
          <cell r="J195">
            <v>18.431999999999999</v>
          </cell>
          <cell r="AP195">
            <v>561.16666666666663</v>
          </cell>
          <cell r="AR195">
            <v>102.56399999999998</v>
          </cell>
        </row>
        <row r="202">
          <cell r="I202">
            <v>12.24</v>
          </cell>
          <cell r="J202">
            <v>97.92</v>
          </cell>
          <cell r="AP202">
            <v>1714.1541546666667</v>
          </cell>
          <cell r="AR202">
            <v>532.1339999999999</v>
          </cell>
        </row>
        <row r="203">
          <cell r="I203">
            <v>4.1471999999999998</v>
          </cell>
          <cell r="AF203">
            <v>255.488</v>
          </cell>
          <cell r="AR203">
            <v>151.84799999999996</v>
          </cell>
        </row>
        <row r="204">
          <cell r="I204">
            <v>2.88</v>
          </cell>
          <cell r="J204">
            <v>23.04</v>
          </cell>
          <cell r="AP204">
            <v>595.25915733333329</v>
          </cell>
          <cell r="AR204">
            <v>125.20799999999998</v>
          </cell>
        </row>
        <row r="205">
          <cell r="I205">
            <v>2.8224</v>
          </cell>
          <cell r="AP205">
            <v>297.62957866666665</v>
          </cell>
          <cell r="AR205">
            <v>89.243999999999971</v>
          </cell>
        </row>
        <row r="215">
          <cell r="J215">
            <v>16.128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Upah &amp; Bahan"/>
      <sheetName val="Analisa Harga"/>
      <sheetName val="Rekap Volume"/>
      <sheetName val="RAB"/>
      <sheetName val="Rekap Biaya"/>
      <sheetName val="Time Schedule"/>
      <sheetName val="Time Schedule (2)"/>
      <sheetName val="plan schdule"/>
      <sheetName val="cash flow"/>
      <sheetName val="Rekap Cash Flow"/>
      <sheetName val="Area"/>
      <sheetName val="Data Tekn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BR22">
            <v>4256524545.9660187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=@round(Sheet1!D496*100/110,-3)" TargetMode="External"/><Relationship Id="rId13" Type="http://schemas.openxmlformats.org/officeDocument/2006/relationships/hyperlink" Target="mailto:=@ROUND(Sheet1!D124*100/110*0.9,-1)" TargetMode="External"/><Relationship Id="rId18" Type="http://schemas.openxmlformats.org/officeDocument/2006/relationships/hyperlink" Target="mailto:=@ROUND(Sheet1!D108/(1.2*2.4)*100/110*2.5,-1)" TargetMode="External"/><Relationship Id="rId3" Type="http://schemas.openxmlformats.org/officeDocument/2006/relationships/hyperlink" Target="mailto:=@round(100000*100/110,-3)" TargetMode="External"/><Relationship Id="rId21" Type="http://schemas.openxmlformats.org/officeDocument/2006/relationships/hyperlink" Target="mailto:=@ROUND(Sheet1!$D$401*100/110,-1)" TargetMode="External"/><Relationship Id="rId7" Type="http://schemas.openxmlformats.org/officeDocument/2006/relationships/hyperlink" Target="mailto:=@round(Sheet1!D497*100/110,-3)" TargetMode="External"/><Relationship Id="rId12" Type="http://schemas.openxmlformats.org/officeDocument/2006/relationships/hyperlink" Target="mailto:=@ROUND(40000*100/110*0.6,-1)" TargetMode="External"/><Relationship Id="rId17" Type="http://schemas.openxmlformats.org/officeDocument/2006/relationships/hyperlink" Target="mailto:=@ROUND(E118/12*9,-1)" TargetMode="External"/><Relationship Id="rId2" Type="http://schemas.openxmlformats.org/officeDocument/2006/relationships/hyperlink" Target="mailto:=@round(100000*100/110,-3)" TargetMode="External"/><Relationship Id="rId16" Type="http://schemas.openxmlformats.org/officeDocument/2006/relationships/hyperlink" Target="mailto:=@ROUND(1234000/40*100/110*0.9,-1)" TargetMode="External"/><Relationship Id="rId20" Type="http://schemas.openxmlformats.org/officeDocument/2006/relationships/hyperlink" Target="mailto:=@ROUND(Sheet1!D368*3,-1)" TargetMode="External"/><Relationship Id="rId1" Type="http://schemas.openxmlformats.org/officeDocument/2006/relationships/hyperlink" Target="mailto:=@round(100000*100/110,-3)" TargetMode="External"/><Relationship Id="rId6" Type="http://schemas.openxmlformats.org/officeDocument/2006/relationships/hyperlink" Target="mailto:=@round(Sheet1!D493*100/110,-3)" TargetMode="External"/><Relationship Id="rId11" Type="http://schemas.openxmlformats.org/officeDocument/2006/relationships/hyperlink" Target="mailto:=@ROUND(Sheet1!D269/4,-1)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=@round(100000*100/110,-3)" TargetMode="External"/><Relationship Id="rId15" Type="http://schemas.openxmlformats.org/officeDocument/2006/relationships/hyperlink" Target="mailto:=@ROUND(Sheet1!D270/3,-1)" TargetMode="External"/><Relationship Id="rId23" Type="http://schemas.openxmlformats.org/officeDocument/2006/relationships/hyperlink" Target="mailto:=@round(100000*100/110,-3)" TargetMode="External"/><Relationship Id="rId10" Type="http://schemas.openxmlformats.org/officeDocument/2006/relationships/hyperlink" Target="mailto:=@ROUND(18000*100/110/3,-1)" TargetMode="External"/><Relationship Id="rId19" Type="http://schemas.openxmlformats.org/officeDocument/2006/relationships/hyperlink" Target="mailto:=@ROUND(Sheet1!D367/3*100/110*4,-1)" TargetMode="External"/><Relationship Id="rId4" Type="http://schemas.openxmlformats.org/officeDocument/2006/relationships/hyperlink" Target="mailto:=@round(100000*100/110,-3)" TargetMode="External"/><Relationship Id="rId9" Type="http://schemas.openxmlformats.org/officeDocument/2006/relationships/hyperlink" Target="mailto:=@round(Sheet1!D499*100/110,-3)" TargetMode="External"/><Relationship Id="rId14" Type="http://schemas.openxmlformats.org/officeDocument/2006/relationships/hyperlink" Target="mailto:=@ROUND(Sheet1!D256,-1)" TargetMode="External"/><Relationship Id="rId22" Type="http://schemas.openxmlformats.org/officeDocument/2006/relationships/hyperlink" Target="mailto:=@ROUND(Sheet1!D118*100/110,-1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85"/>
  <sheetViews>
    <sheetView topLeftCell="A346" zoomScale="55" zoomScaleNormal="55" workbookViewId="0">
      <selection activeCell="U12" sqref="U12"/>
    </sheetView>
  </sheetViews>
  <sheetFormatPr defaultRowHeight="15"/>
  <cols>
    <col min="1" max="1" width="4.42578125" customWidth="1"/>
    <col min="3" max="3" width="17" customWidth="1"/>
    <col min="4" max="4" width="5.7109375" customWidth="1"/>
    <col min="5" max="5" width="22.42578125" customWidth="1"/>
    <col min="6" max="6" width="9.140625" customWidth="1"/>
    <col min="12" max="12" width="6" customWidth="1"/>
    <col min="13" max="13" width="29.42578125" customWidth="1"/>
    <col min="16" max="16" width="14.85546875" customWidth="1"/>
    <col min="17" max="17" width="6.28515625" customWidth="1"/>
    <col min="18" max="18" width="8.5703125" customWidth="1"/>
    <col min="19" max="19" width="7.5703125" customWidth="1"/>
    <col min="21" max="21" width="5.28515625" customWidth="1"/>
    <col min="23" max="23" width="5.28515625" customWidth="1"/>
    <col min="24" max="24" width="9.140625" customWidth="1"/>
    <col min="25" max="25" width="15.85546875" customWidth="1"/>
    <col min="37" max="37" width="11.42578125" customWidth="1"/>
  </cols>
  <sheetData>
    <row r="1" spans="1:38" ht="18.75">
      <c r="A1" s="996" t="s">
        <v>47</v>
      </c>
      <c r="B1" s="997"/>
      <c r="C1" s="997" t="s">
        <v>1249</v>
      </c>
      <c r="D1" s="997"/>
      <c r="E1" s="997"/>
      <c r="F1" s="998"/>
      <c r="G1" s="998"/>
      <c r="H1" s="998"/>
      <c r="I1" s="999"/>
      <c r="J1" s="1000"/>
      <c r="K1" s="999"/>
      <c r="L1" s="999"/>
      <c r="M1" s="997"/>
      <c r="N1" s="999"/>
      <c r="O1" s="1001"/>
      <c r="P1" s="1001"/>
      <c r="Q1" s="1001"/>
      <c r="R1" s="1001"/>
      <c r="S1" s="1002"/>
      <c r="T1" s="8"/>
      <c r="U1" s="9"/>
      <c r="V1" s="8"/>
      <c r="W1" s="9"/>
      <c r="X1" s="8"/>
      <c r="Y1" s="1001"/>
      <c r="Z1" s="1001"/>
      <c r="AA1" s="1001"/>
      <c r="AB1" s="1002"/>
      <c r="AC1" s="8"/>
      <c r="AD1" s="9"/>
      <c r="AE1" s="8"/>
      <c r="AF1" s="9"/>
      <c r="AG1" s="8"/>
      <c r="AH1" s="9"/>
      <c r="AI1" s="8"/>
      <c r="AJ1" s="999"/>
      <c r="AK1" s="999"/>
      <c r="AL1" s="999"/>
    </row>
    <row r="2" spans="1:38" ht="18.75">
      <c r="A2" s="1003" t="s">
        <v>49</v>
      </c>
      <c r="B2" s="1003"/>
      <c r="C2" s="1003" t="s">
        <v>1250</v>
      </c>
      <c r="D2" s="1003"/>
      <c r="E2" s="1003"/>
      <c r="F2" s="998"/>
      <c r="G2" s="998"/>
      <c r="H2" s="998"/>
      <c r="I2" s="999"/>
      <c r="J2" s="1000"/>
      <c r="K2" s="999"/>
      <c r="L2" s="999"/>
      <c r="M2" s="1003"/>
      <c r="N2" s="999"/>
      <c r="O2" s="1001"/>
      <c r="P2" s="1001"/>
      <c r="Q2" s="1001"/>
      <c r="R2" s="1001"/>
      <c r="S2" s="1002"/>
      <c r="T2" s="8"/>
      <c r="U2" s="9"/>
      <c r="V2" s="8"/>
      <c r="W2" s="9"/>
      <c r="X2" s="8"/>
      <c r="Y2" s="1001"/>
      <c r="Z2" s="1001"/>
      <c r="AA2" s="1001"/>
      <c r="AB2" s="1002"/>
      <c r="AC2" s="8"/>
      <c r="AD2" s="9"/>
      <c r="AE2" s="8"/>
      <c r="AF2" s="9"/>
      <c r="AG2" s="8"/>
      <c r="AH2" s="9"/>
      <c r="AI2" s="8"/>
      <c r="AJ2" s="999"/>
      <c r="AK2" s="999"/>
      <c r="AL2" s="999"/>
    </row>
    <row r="3" spans="1:38" ht="18.75">
      <c r="A3" s="1004" t="s">
        <v>50</v>
      </c>
      <c r="B3" s="1004"/>
      <c r="C3" s="1004" t="s">
        <v>979</v>
      </c>
      <c r="D3" s="1004"/>
      <c r="E3" s="1004"/>
      <c r="F3" s="998"/>
      <c r="G3" s="998"/>
      <c r="H3" s="998"/>
      <c r="I3" s="999"/>
      <c r="J3" s="1000"/>
      <c r="K3" s="999"/>
      <c r="L3" s="999"/>
      <c r="M3" s="1004"/>
      <c r="N3" s="999"/>
      <c r="O3" s="1001"/>
      <c r="P3" s="1001"/>
      <c r="Q3" s="1001"/>
      <c r="R3" s="1001"/>
      <c r="S3" s="1002"/>
      <c r="T3" s="8"/>
      <c r="U3" s="9"/>
      <c r="V3" s="8"/>
      <c r="W3" s="9"/>
      <c r="X3" s="8"/>
      <c r="Y3" s="1001"/>
      <c r="Z3" s="1001"/>
      <c r="AA3" s="1001"/>
      <c r="AB3" s="1002"/>
      <c r="AC3" s="8"/>
      <c r="AD3" s="9"/>
      <c r="AE3" s="8"/>
      <c r="AF3" s="9"/>
      <c r="AG3" s="8"/>
      <c r="AH3" s="9"/>
      <c r="AI3" s="8"/>
      <c r="AJ3" s="999"/>
      <c r="AK3" s="999"/>
      <c r="AL3" s="999"/>
    </row>
    <row r="4" spans="1:38" ht="18.75">
      <c r="A4" s="1004" t="s">
        <v>51</v>
      </c>
      <c r="B4" s="1004"/>
      <c r="C4" s="1004" t="s">
        <v>1251</v>
      </c>
      <c r="D4" s="1004"/>
      <c r="E4" s="1004"/>
      <c r="F4" s="998"/>
      <c r="G4" s="998"/>
      <c r="H4" s="998"/>
      <c r="I4" s="999"/>
      <c r="J4" s="1000"/>
      <c r="K4" s="999"/>
      <c r="L4" s="999"/>
      <c r="M4" s="1004"/>
      <c r="N4" s="999"/>
      <c r="O4" s="1001"/>
      <c r="P4" s="1001"/>
      <c r="Q4" s="1001"/>
      <c r="R4" s="1001"/>
      <c r="S4" s="1002"/>
      <c r="T4" s="8"/>
      <c r="U4" s="9"/>
      <c r="V4" s="8"/>
      <c r="W4" s="9"/>
      <c r="X4" s="8"/>
      <c r="Y4" s="1001"/>
      <c r="Z4" s="1001"/>
      <c r="AA4" s="1001"/>
      <c r="AB4" s="1002"/>
      <c r="AC4" s="8"/>
      <c r="AD4" s="9"/>
      <c r="AE4" s="8"/>
      <c r="AF4" s="9"/>
      <c r="AG4" s="8"/>
      <c r="AH4" s="9"/>
      <c r="AI4" s="8"/>
      <c r="AJ4" s="999"/>
      <c r="AK4" s="999"/>
      <c r="AL4" s="999"/>
    </row>
    <row r="5" spans="1:38" ht="15.75" thickBot="1">
      <c r="A5" s="999"/>
      <c r="B5" s="999"/>
      <c r="C5" s="999"/>
      <c r="D5" s="999"/>
      <c r="E5" s="999"/>
      <c r="F5" s="1005"/>
      <c r="G5" s="1005"/>
      <c r="H5" s="1005"/>
      <c r="I5" s="999"/>
      <c r="J5" s="1000"/>
      <c r="K5" s="999"/>
      <c r="L5" s="999"/>
      <c r="M5" s="999"/>
      <c r="N5" s="999"/>
      <c r="O5" s="1001"/>
      <c r="P5" s="1001"/>
      <c r="Q5" s="1001"/>
      <c r="R5" s="1001"/>
      <c r="S5" s="1002"/>
      <c r="T5" s="8"/>
      <c r="U5" s="9"/>
      <c r="V5" s="8"/>
      <c r="W5" s="9"/>
      <c r="X5" s="8"/>
      <c r="Y5" s="1001"/>
      <c r="Z5" s="1001"/>
      <c r="AA5" s="1001"/>
      <c r="AB5" s="1002"/>
      <c r="AC5" s="8"/>
      <c r="AD5" s="9"/>
      <c r="AE5" s="8"/>
      <c r="AF5" s="9"/>
      <c r="AG5" s="8"/>
      <c r="AH5" s="9"/>
      <c r="AI5" s="8"/>
      <c r="AJ5" s="999"/>
      <c r="AK5" s="999"/>
      <c r="AL5" s="999"/>
    </row>
    <row r="6" spans="1:38" ht="15.75" thickTop="1">
      <c r="A6" s="1006" t="s">
        <v>53</v>
      </c>
      <c r="B6" s="1007" t="s">
        <v>1252</v>
      </c>
      <c r="C6" s="1007" t="s">
        <v>1253</v>
      </c>
      <c r="D6" s="1007"/>
      <c r="E6" s="1007" t="s">
        <v>1254</v>
      </c>
      <c r="F6" s="1008" t="s">
        <v>1255</v>
      </c>
      <c r="G6" s="1009"/>
      <c r="H6" s="1010"/>
      <c r="I6" s="1007" t="s">
        <v>53</v>
      </c>
      <c r="J6" s="1011" t="s">
        <v>1256</v>
      </c>
      <c r="K6" s="1012" t="s">
        <v>1257</v>
      </c>
      <c r="L6" s="1013" t="s">
        <v>1258</v>
      </c>
      <c r="M6" s="1007" t="s">
        <v>1254</v>
      </c>
      <c r="N6" s="1014" t="s">
        <v>1259</v>
      </c>
      <c r="O6" s="1015"/>
      <c r="P6" s="1016"/>
      <c r="Q6" s="1017" t="s">
        <v>1260</v>
      </c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9"/>
      <c r="AJ6" s="1020" t="s">
        <v>1261</v>
      </c>
      <c r="AK6" s="1021"/>
      <c r="AL6" s="1022"/>
    </row>
    <row r="7" spans="1:38">
      <c r="A7" s="1023"/>
      <c r="B7" s="1024"/>
      <c r="C7" s="1024"/>
      <c r="D7" s="1024"/>
      <c r="E7" s="1024"/>
      <c r="F7" s="1025"/>
      <c r="G7" s="1026"/>
      <c r="H7" s="1027"/>
      <c r="I7" s="1024"/>
      <c r="J7" s="1028"/>
      <c r="K7" s="1029"/>
      <c r="L7" s="1030"/>
      <c r="M7" s="1024"/>
      <c r="N7" s="1031"/>
      <c r="O7" s="1032"/>
      <c r="P7" s="1033"/>
      <c r="Q7" s="1034" t="s">
        <v>1262</v>
      </c>
      <c r="R7" s="1035"/>
      <c r="S7" s="1035"/>
      <c r="T7" s="1035"/>
      <c r="U7" s="1035"/>
      <c r="V7" s="1035"/>
      <c r="W7" s="1035"/>
      <c r="X7" s="1036"/>
      <c r="Y7" s="1037"/>
      <c r="Z7" s="1038" t="s">
        <v>1263</v>
      </c>
      <c r="AA7" s="1035"/>
      <c r="AB7" s="1035"/>
      <c r="AC7" s="1035"/>
      <c r="AD7" s="1035"/>
      <c r="AE7" s="1035"/>
      <c r="AF7" s="1035"/>
      <c r="AG7" s="1035"/>
      <c r="AH7" s="1035"/>
      <c r="AI7" s="1036"/>
      <c r="AJ7" s="1039">
        <v>8</v>
      </c>
      <c r="AK7" s="1040">
        <v>10</v>
      </c>
      <c r="AL7" s="1041">
        <v>13</v>
      </c>
    </row>
    <row r="8" spans="1:38" ht="45">
      <c r="A8" s="1042"/>
      <c r="B8" s="1043"/>
      <c r="C8" s="1043"/>
      <c r="D8" s="1043"/>
      <c r="E8" s="1024"/>
      <c r="F8" s="1044" t="s">
        <v>1264</v>
      </c>
      <c r="G8" s="1044" t="s">
        <v>1265</v>
      </c>
      <c r="H8" s="1044" t="s">
        <v>1266</v>
      </c>
      <c r="I8" s="1024"/>
      <c r="J8" s="1045"/>
      <c r="K8" s="1046"/>
      <c r="L8" s="1030"/>
      <c r="M8" s="1024"/>
      <c r="N8" s="1031"/>
      <c r="O8" s="1047"/>
      <c r="P8" s="1033"/>
      <c r="Q8" s="1048" t="s">
        <v>1267</v>
      </c>
      <c r="R8" s="1049" t="s">
        <v>1268</v>
      </c>
      <c r="S8" s="1050" t="s">
        <v>1269</v>
      </c>
      <c r="T8" s="1051" t="s">
        <v>1270</v>
      </c>
      <c r="U8" s="1052" t="s">
        <v>1271</v>
      </c>
      <c r="V8" s="1053"/>
      <c r="W8" s="1054" t="s">
        <v>1256</v>
      </c>
      <c r="X8" s="1055" t="s">
        <v>1272</v>
      </c>
      <c r="Y8" s="1056"/>
      <c r="Z8" s="1057" t="s">
        <v>1267</v>
      </c>
      <c r="AA8" s="1049" t="s">
        <v>1268</v>
      </c>
      <c r="AB8" s="1050" t="s">
        <v>1269</v>
      </c>
      <c r="AC8" s="1051" t="s">
        <v>1270</v>
      </c>
      <c r="AD8" s="1052" t="s">
        <v>1271</v>
      </c>
      <c r="AE8" s="1053"/>
      <c r="AF8" s="1052" t="s">
        <v>1273</v>
      </c>
      <c r="AG8" s="1053"/>
      <c r="AH8" s="1054" t="s">
        <v>1274</v>
      </c>
      <c r="AI8" s="1055" t="s">
        <v>1272</v>
      </c>
      <c r="AJ8" s="1058" t="s">
        <v>1016</v>
      </c>
      <c r="AK8" s="1059" t="s">
        <v>1016</v>
      </c>
      <c r="AL8" s="1060" t="s">
        <v>1016</v>
      </c>
    </row>
    <row r="9" spans="1:38" ht="15.75" thickBot="1">
      <c r="A9" s="1061"/>
      <c r="B9" s="1062"/>
      <c r="C9" s="1062"/>
      <c r="D9" s="1062"/>
      <c r="E9" s="1063"/>
      <c r="F9" s="1064"/>
      <c r="G9" s="1064"/>
      <c r="H9" s="1064"/>
      <c r="I9" s="1063"/>
      <c r="J9" s="1065" t="s">
        <v>1275</v>
      </c>
      <c r="K9" s="1066"/>
      <c r="L9" s="1067"/>
      <c r="M9" s="1063"/>
      <c r="N9" s="1068"/>
      <c r="O9" s="1069"/>
      <c r="P9" s="1070"/>
      <c r="Q9" s="1071"/>
      <c r="R9" s="1072"/>
      <c r="S9" s="1073"/>
      <c r="T9" s="1074"/>
      <c r="U9" s="1075"/>
      <c r="V9" s="1076"/>
      <c r="W9" s="1077"/>
      <c r="X9" s="1078"/>
      <c r="Y9" s="1079"/>
      <c r="Z9" s="1072"/>
      <c r="AA9" s="1072"/>
      <c r="AB9" s="1073"/>
      <c r="AC9" s="1074"/>
      <c r="AD9" s="1075"/>
      <c r="AE9" s="1076"/>
      <c r="AF9" s="1075"/>
      <c r="AG9" s="1076"/>
      <c r="AH9" s="1077"/>
      <c r="AI9" s="1080"/>
      <c r="AJ9" s="1081">
        <v>0.39500000000000002</v>
      </c>
      <c r="AK9" s="1082">
        <v>0.61699999999999999</v>
      </c>
      <c r="AL9" s="1083">
        <f>(13*13*0.074)/12</f>
        <v>1.0421666666666667</v>
      </c>
    </row>
    <row r="10" spans="1:38" ht="16.5" thickTop="1" thickBot="1">
      <c r="A10" s="1084"/>
      <c r="B10" s="1085"/>
      <c r="C10" s="1085"/>
      <c r="D10" s="1085"/>
      <c r="E10" s="1086" t="s">
        <v>1276</v>
      </c>
      <c r="F10" s="1087"/>
      <c r="G10" s="1087"/>
      <c r="H10" s="1087"/>
      <c r="I10" s="1088"/>
      <c r="J10" s="1089"/>
      <c r="K10" s="1090"/>
      <c r="L10" s="1091"/>
      <c r="M10" s="1086"/>
      <c r="N10" s="1092"/>
      <c r="O10" s="1093"/>
      <c r="P10" s="1094"/>
      <c r="Q10" s="1095"/>
      <c r="R10" s="1096"/>
      <c r="S10" s="1097"/>
      <c r="T10" s="1098"/>
      <c r="U10" s="1099"/>
      <c r="V10" s="1098"/>
      <c r="W10" s="1099"/>
      <c r="X10" s="1100"/>
      <c r="Y10" s="1094"/>
      <c r="Z10" s="1101"/>
      <c r="AA10" s="1096"/>
      <c r="AB10" s="1097"/>
      <c r="AC10" s="1098"/>
      <c r="AD10" s="1099"/>
      <c r="AE10" s="1098"/>
      <c r="AF10" s="1099"/>
      <c r="AG10" s="1098"/>
      <c r="AH10" s="1099"/>
      <c r="AI10" s="1100"/>
      <c r="AJ10" s="1102"/>
      <c r="AK10" s="1098"/>
      <c r="AL10" s="1103"/>
    </row>
    <row r="11" spans="1:38" ht="19.5" thickTop="1">
      <c r="A11" s="1104">
        <v>1</v>
      </c>
      <c r="B11" s="1105" t="s">
        <v>1277</v>
      </c>
      <c r="C11" s="1106" t="s">
        <v>1278</v>
      </c>
      <c r="D11" s="1105">
        <v>1</v>
      </c>
      <c r="E11" s="1105" t="s">
        <v>1279</v>
      </c>
      <c r="F11" s="1208">
        <v>0.3</v>
      </c>
      <c r="G11" s="1208">
        <v>0.16</v>
      </c>
      <c r="H11" s="1208">
        <v>1.5</v>
      </c>
      <c r="I11" s="1108">
        <v>1</v>
      </c>
      <c r="J11" s="1109">
        <v>8</v>
      </c>
      <c r="K11" s="1110"/>
      <c r="L11" s="1111">
        <f>I11*(((F11*G11*H11)/2)*J11)</f>
        <v>0.28800000000000003</v>
      </c>
      <c r="M11" s="1105" t="s">
        <v>1280</v>
      </c>
      <c r="N11" s="1112">
        <f>I11*(G11*H11*J11)</f>
        <v>1.92</v>
      </c>
      <c r="O11" s="1113"/>
      <c r="P11" s="1114" t="s">
        <v>1281</v>
      </c>
      <c r="Q11" s="1104">
        <v>8</v>
      </c>
      <c r="R11" s="1115"/>
      <c r="S11" s="1116">
        <v>1</v>
      </c>
      <c r="T11" s="1117">
        <f>(H11+0.4)-0.06</f>
        <v>1.8399999999999999</v>
      </c>
      <c r="U11" s="1109">
        <v>2</v>
      </c>
      <c r="V11" s="1117">
        <f>6*Q11/1000</f>
        <v>4.8000000000000001E-2</v>
      </c>
      <c r="W11" s="1118">
        <v>8</v>
      </c>
      <c r="X11" s="1119">
        <f>I11*((((T11)+(V11*U11)*S11)*W11))</f>
        <v>15.488</v>
      </c>
      <c r="Y11" s="1120" t="s">
        <v>1282</v>
      </c>
      <c r="Z11" s="1121">
        <v>13</v>
      </c>
      <c r="AA11" s="1115">
        <v>0.15</v>
      </c>
      <c r="AB11" s="1116">
        <f>(F12)/AA11+1</f>
        <v>11</v>
      </c>
      <c r="AC11" s="1117">
        <v>2.4</v>
      </c>
      <c r="AD11" s="1109">
        <v>2</v>
      </c>
      <c r="AE11" s="1117">
        <f>6*Z11/1000</f>
        <v>7.8E-2</v>
      </c>
      <c r="AF11" s="1109">
        <v>2</v>
      </c>
      <c r="AG11" s="1117">
        <f>(40*Z11/1000)*AF11</f>
        <v>1.04</v>
      </c>
      <c r="AH11" s="1118">
        <v>1</v>
      </c>
      <c r="AI11" s="1122">
        <f>$J$11*((((AC11)+(AE11*AD11)+(AG11*AF11))*AH11)*AB11)</f>
        <v>407.96800000000002</v>
      </c>
      <c r="AJ11" s="1123">
        <f t="shared" ref="AJ11:AJ16" si="0">((IF(Q11=$AK$7,X11,0)+(IF(Z11=$AK$7,AI11,0))))*$AK$9</f>
        <v>0</v>
      </c>
      <c r="AK11" s="1124">
        <f t="shared" ref="AK11:AK16" si="1">((IF(Q11=$AL$7,X11,0)+(IF(Z11=$AL$7,AI11,0))))*$AL$9</f>
        <v>425.17065066666669</v>
      </c>
      <c r="AL11" s="1125">
        <f>((IF(Q11=$AM$7,X11,0)+(IF(Z11=$AM$7,AI11,0))))*$AM$9</f>
        <v>0</v>
      </c>
    </row>
    <row r="12" spans="1:38" ht="18.75">
      <c r="A12" s="1126"/>
      <c r="B12" s="1127"/>
      <c r="C12" s="1128"/>
      <c r="D12" s="1127"/>
      <c r="E12" s="1127" t="s">
        <v>1283</v>
      </c>
      <c r="F12" s="1209">
        <v>1.5</v>
      </c>
      <c r="G12" s="1209">
        <v>0.15</v>
      </c>
      <c r="H12" s="1209">
        <v>2.4</v>
      </c>
      <c r="I12" s="1130">
        <v>1</v>
      </c>
      <c r="J12" s="1131"/>
      <c r="K12" s="1132"/>
      <c r="L12" s="1133">
        <f>I12*(F12*G12*H12)</f>
        <v>0.53999999999999992</v>
      </c>
      <c r="M12" s="1127" t="s">
        <v>1284</v>
      </c>
      <c r="N12" s="1134"/>
      <c r="O12" s="1094"/>
      <c r="P12" s="1135" t="s">
        <v>1285</v>
      </c>
      <c r="Q12" s="1136">
        <v>8</v>
      </c>
      <c r="R12" s="1137">
        <v>0.2</v>
      </c>
      <c r="S12" s="1138">
        <f>(H11/R12+1)</f>
        <v>8.5</v>
      </c>
      <c r="T12" s="1139">
        <f>(F11+G11+0.3)-(0.03*2)</f>
        <v>0.7</v>
      </c>
      <c r="U12" s="1131">
        <v>2</v>
      </c>
      <c r="V12" s="1139">
        <f>6*Q12/1000</f>
        <v>4.8000000000000001E-2</v>
      </c>
      <c r="W12" s="1140">
        <v>8</v>
      </c>
      <c r="X12" s="1122">
        <f>I11*(((((T12)+(V12*U12))*S12)*W12))</f>
        <v>54.127999999999993</v>
      </c>
      <c r="Y12" s="1141" t="s">
        <v>1286</v>
      </c>
      <c r="Z12" s="1142">
        <v>13</v>
      </c>
      <c r="AA12" s="1137">
        <v>0.15</v>
      </c>
      <c r="AB12" s="1138">
        <f>(F12)/AA12+1</f>
        <v>11</v>
      </c>
      <c r="AC12" s="1139">
        <v>4.2300000000000004</v>
      </c>
      <c r="AD12" s="1131">
        <v>2</v>
      </c>
      <c r="AE12" s="1139">
        <f>6*Z12/1000</f>
        <v>7.8E-2</v>
      </c>
      <c r="AF12" s="1131">
        <v>2</v>
      </c>
      <c r="AG12" s="1143">
        <f t="shared" ref="AG12:AG13" si="2">(40*Z12/1000)*AF12</f>
        <v>1.04</v>
      </c>
      <c r="AH12" s="1140">
        <v>1</v>
      </c>
      <c r="AI12" s="1122">
        <f t="shared" ref="AI12:AI13" si="3">$J$11*((((AC12)+(AE12*AD12)+(AG12*AF12))*AH12)*AB12)</f>
        <v>569.00800000000004</v>
      </c>
      <c r="AJ12" s="1144">
        <f t="shared" si="0"/>
        <v>0</v>
      </c>
      <c r="AK12" s="1145">
        <f t="shared" si="1"/>
        <v>593.00117066666667</v>
      </c>
      <c r="AL12" s="1146">
        <f t="shared" ref="AL12:AL23" si="4">((IF(Q12=$AM$7,X12,0)+(IF(Z12=$AM$7,AI12,0))))*$AM$9</f>
        <v>0</v>
      </c>
    </row>
    <row r="13" spans="1:38" ht="18.75">
      <c r="A13" s="1126"/>
      <c r="B13" s="1127"/>
      <c r="C13" s="1128"/>
      <c r="D13" s="1127"/>
      <c r="E13" s="1127" t="s">
        <v>1287</v>
      </c>
      <c r="F13" s="1209">
        <v>1.5</v>
      </c>
      <c r="G13" s="1209">
        <v>0.15</v>
      </c>
      <c r="H13" s="1209">
        <v>1.54</v>
      </c>
      <c r="I13" s="1130">
        <v>1</v>
      </c>
      <c r="J13" s="1131"/>
      <c r="K13" s="1132"/>
      <c r="L13" s="1133">
        <f>I13*(F13*G13*H13)</f>
        <v>0.34649999999999997</v>
      </c>
      <c r="M13" s="1127" t="s">
        <v>1288</v>
      </c>
      <c r="N13" s="1134"/>
      <c r="O13" s="1094"/>
      <c r="P13" s="1135"/>
      <c r="Q13" s="1136"/>
      <c r="R13" s="1137"/>
      <c r="S13" s="1138"/>
      <c r="T13" s="1139"/>
      <c r="U13" s="1131"/>
      <c r="V13" s="1139"/>
      <c r="W13" s="1140"/>
      <c r="X13" s="1122"/>
      <c r="Y13" s="1141" t="s">
        <v>1289</v>
      </c>
      <c r="Z13" s="1142">
        <v>13</v>
      </c>
      <c r="AA13" s="1137">
        <v>0.3</v>
      </c>
      <c r="AB13" s="1138">
        <f>(F12)/AA13+1</f>
        <v>6</v>
      </c>
      <c r="AC13" s="1139">
        <v>1.74</v>
      </c>
      <c r="AD13" s="1131">
        <v>2</v>
      </c>
      <c r="AE13" s="1139">
        <f>6*Z13/1000</f>
        <v>7.8E-2</v>
      </c>
      <c r="AF13" s="1131">
        <v>2</v>
      </c>
      <c r="AG13" s="1143">
        <f t="shared" si="2"/>
        <v>1.04</v>
      </c>
      <c r="AH13" s="1140">
        <v>1</v>
      </c>
      <c r="AI13" s="1122">
        <f t="shared" si="3"/>
        <v>190.84800000000001</v>
      </c>
      <c r="AJ13" s="1144">
        <f t="shared" si="0"/>
        <v>0</v>
      </c>
      <c r="AK13" s="1145">
        <f t="shared" si="1"/>
        <v>198.89542400000002</v>
      </c>
      <c r="AL13" s="1146">
        <f t="shared" si="4"/>
        <v>0</v>
      </c>
    </row>
    <row r="14" spans="1:38" ht="18.75">
      <c r="A14" s="1126"/>
      <c r="B14" s="1127"/>
      <c r="C14" s="1128"/>
      <c r="D14" s="1127"/>
      <c r="E14" s="1127"/>
      <c r="F14" s="1209"/>
      <c r="G14" s="1209"/>
      <c r="H14" s="1209"/>
      <c r="I14" s="1130"/>
      <c r="J14" s="1131"/>
      <c r="K14" s="1132"/>
      <c r="L14" s="1133"/>
      <c r="M14" s="1127" t="s">
        <v>1290</v>
      </c>
      <c r="N14" s="1134"/>
      <c r="O14" s="1094"/>
      <c r="P14" s="1135"/>
      <c r="Q14" s="1136"/>
      <c r="R14" s="1137"/>
      <c r="S14" s="1138"/>
      <c r="T14" s="1139"/>
      <c r="U14" s="1131"/>
      <c r="V14" s="1139"/>
      <c r="W14" s="1140"/>
      <c r="X14" s="1122"/>
      <c r="Y14" s="1141" t="s">
        <v>1291</v>
      </c>
      <c r="Z14" s="1142">
        <v>8</v>
      </c>
      <c r="AA14" s="1137">
        <v>0.2</v>
      </c>
      <c r="AB14" s="1138">
        <f>(H12)/AA14+1</f>
        <v>12.999999999999998</v>
      </c>
      <c r="AC14" s="1139">
        <f>(F12+0.3)-0.06</f>
        <v>1.74</v>
      </c>
      <c r="AD14" s="1131">
        <v>2</v>
      </c>
      <c r="AE14" s="1139">
        <f t="shared" ref="AE14" si="5">6*Z14/1000</f>
        <v>4.8000000000000001E-2</v>
      </c>
      <c r="AF14" s="1131">
        <v>0</v>
      </c>
      <c r="AG14" s="1143">
        <f>(40*Z14/1000)*AF14</f>
        <v>0</v>
      </c>
      <c r="AH14" s="1140">
        <v>2</v>
      </c>
      <c r="AI14" s="1122">
        <f>$J$11*((((AC14)+(AE14*AD14)+(AG14*AF14))*AH14)*AB14)</f>
        <v>381.88799999999998</v>
      </c>
      <c r="AJ14" s="1144">
        <f t="shared" si="0"/>
        <v>0</v>
      </c>
      <c r="AK14" s="1145">
        <f t="shared" si="1"/>
        <v>0</v>
      </c>
      <c r="AL14" s="1146">
        <f t="shared" si="4"/>
        <v>0</v>
      </c>
    </row>
    <row r="15" spans="1:38" ht="18.75">
      <c r="A15" s="1126"/>
      <c r="B15" s="1127"/>
      <c r="C15" s="1128"/>
      <c r="D15" s="1127"/>
      <c r="E15" s="1127"/>
      <c r="F15" s="1209"/>
      <c r="G15" s="1209"/>
      <c r="H15" s="1209"/>
      <c r="I15" s="1130"/>
      <c r="J15" s="1131"/>
      <c r="K15" s="1132"/>
      <c r="L15" s="1133"/>
      <c r="M15" s="1127" t="s">
        <v>1292</v>
      </c>
      <c r="N15" s="1134">
        <f>I12*(F12*H12)</f>
        <v>3.5999999999999996</v>
      </c>
      <c r="O15" s="1094"/>
      <c r="P15" s="1135"/>
      <c r="Q15" s="1136"/>
      <c r="R15" s="1137"/>
      <c r="S15" s="1138"/>
      <c r="T15" s="1139"/>
      <c r="U15" s="1131"/>
      <c r="V15" s="1139"/>
      <c r="W15" s="1140"/>
      <c r="X15" s="1122"/>
      <c r="Y15" s="1141"/>
      <c r="Z15" s="1142"/>
      <c r="AA15" s="1137"/>
      <c r="AB15" s="1138"/>
      <c r="AC15" s="1139"/>
      <c r="AD15" s="1131"/>
      <c r="AE15" s="1139"/>
      <c r="AF15" s="1131"/>
      <c r="AG15" s="1139"/>
      <c r="AH15" s="1140"/>
      <c r="AI15" s="1122"/>
      <c r="AJ15" s="1144">
        <f t="shared" si="0"/>
        <v>0</v>
      </c>
      <c r="AK15" s="1145">
        <f t="shared" si="1"/>
        <v>0</v>
      </c>
      <c r="AL15" s="1146">
        <f t="shared" si="4"/>
        <v>0</v>
      </c>
    </row>
    <row r="16" spans="1:38" ht="18.75">
      <c r="A16" s="1147"/>
      <c r="B16" s="1148"/>
      <c r="C16" s="1149"/>
      <c r="D16" s="1148"/>
      <c r="E16" s="1148"/>
      <c r="F16" s="1210"/>
      <c r="G16" s="1210"/>
      <c r="H16" s="1210"/>
      <c r="I16" s="1151"/>
      <c r="J16" s="1152"/>
      <c r="K16" s="1153"/>
      <c r="L16" s="1154"/>
      <c r="M16" s="1148" t="s">
        <v>1293</v>
      </c>
      <c r="N16" s="1155">
        <f>I13*(F13*H13)</f>
        <v>2.31</v>
      </c>
      <c r="O16" s="1094"/>
      <c r="P16" s="1156"/>
      <c r="Q16" s="1157"/>
      <c r="R16" s="1158"/>
      <c r="S16" s="1159"/>
      <c r="T16" s="1160"/>
      <c r="U16" s="1152"/>
      <c r="V16" s="1160"/>
      <c r="W16" s="1161"/>
      <c r="X16" s="1162"/>
      <c r="Y16" s="1163"/>
      <c r="Z16" s="1164"/>
      <c r="AA16" s="1158"/>
      <c r="AB16" s="1159"/>
      <c r="AC16" s="1160"/>
      <c r="AD16" s="1152"/>
      <c r="AE16" s="1160"/>
      <c r="AF16" s="1152"/>
      <c r="AG16" s="1160"/>
      <c r="AH16" s="1161"/>
      <c r="AI16" s="1162"/>
      <c r="AJ16" s="1102">
        <f t="shared" si="0"/>
        <v>0</v>
      </c>
      <c r="AK16" s="1165">
        <f t="shared" si="1"/>
        <v>0</v>
      </c>
      <c r="AL16" s="1146">
        <f t="shared" si="4"/>
        <v>0</v>
      </c>
    </row>
    <row r="17" spans="1:38" ht="18.75">
      <c r="A17" s="1126"/>
      <c r="B17" s="1166"/>
      <c r="C17" s="1167"/>
      <c r="D17" s="1166"/>
      <c r="E17" s="1166"/>
      <c r="F17" s="1211"/>
      <c r="G17" s="1211"/>
      <c r="H17" s="1211"/>
      <c r="I17" s="1130"/>
      <c r="J17" s="1169"/>
      <c r="K17" s="1170"/>
      <c r="L17" s="1171"/>
      <c r="M17" s="1166"/>
      <c r="N17" s="1172"/>
      <c r="O17" s="1173"/>
      <c r="P17" s="1135"/>
      <c r="Q17" s="1126"/>
      <c r="R17" s="1174"/>
      <c r="S17" s="1175"/>
      <c r="T17" s="1143"/>
      <c r="U17" s="1169"/>
      <c r="V17" s="1143"/>
      <c r="W17" s="1176"/>
      <c r="X17" s="1177"/>
      <c r="Y17" s="1141"/>
      <c r="Z17" s="1178"/>
      <c r="AA17" s="1174"/>
      <c r="AB17" s="1175"/>
      <c r="AC17" s="1143"/>
      <c r="AD17" s="1169"/>
      <c r="AE17" s="1143"/>
      <c r="AF17" s="1169"/>
      <c r="AG17" s="1143"/>
      <c r="AH17" s="1176"/>
      <c r="AI17" s="1177"/>
      <c r="AJ17" s="1179"/>
      <c r="AK17" s="1180"/>
      <c r="AL17" s="1146">
        <f t="shared" si="4"/>
        <v>0</v>
      </c>
    </row>
    <row r="18" spans="1:38" ht="18.75">
      <c r="A18" s="1136"/>
      <c r="B18" s="1127"/>
      <c r="C18" s="1128"/>
      <c r="D18" s="1127">
        <v>2</v>
      </c>
      <c r="E18" s="1127" t="s">
        <v>1279</v>
      </c>
      <c r="F18" s="1209">
        <v>0.3</v>
      </c>
      <c r="G18" s="1209">
        <v>0.16</v>
      </c>
      <c r="H18" s="1209">
        <v>1.5</v>
      </c>
      <c r="I18" s="1181">
        <v>1</v>
      </c>
      <c r="J18" s="1131">
        <v>7</v>
      </c>
      <c r="K18" s="1132"/>
      <c r="L18" s="1133">
        <f>I18*(((F18*G18*H18)/2)*J18)</f>
        <v>0.252</v>
      </c>
      <c r="M18" s="1127" t="s">
        <v>1280</v>
      </c>
      <c r="N18" s="1134">
        <f>I18*(G18*H18*J18)</f>
        <v>1.68</v>
      </c>
      <c r="O18" s="1094"/>
      <c r="P18" s="1182" t="s">
        <v>1281</v>
      </c>
      <c r="Q18" s="1136">
        <v>8</v>
      </c>
      <c r="R18" s="1137"/>
      <c r="S18" s="1138">
        <v>1</v>
      </c>
      <c r="T18" s="1139">
        <f>(H18+0.4)-0.06</f>
        <v>1.8399999999999999</v>
      </c>
      <c r="U18" s="1131">
        <v>2</v>
      </c>
      <c r="V18" s="1139">
        <f>6*Q18/1000</f>
        <v>4.8000000000000001E-2</v>
      </c>
      <c r="W18" s="1140">
        <v>7</v>
      </c>
      <c r="X18" s="1122">
        <f>I18*((((T18)+(V18*U18)*S18)*W18))</f>
        <v>13.552</v>
      </c>
      <c r="Y18" s="1183" t="s">
        <v>1282</v>
      </c>
      <c r="Z18" s="1142">
        <v>13</v>
      </c>
      <c r="AA18" s="1137">
        <v>0.15</v>
      </c>
      <c r="AB18" s="1138">
        <f>($G$19)/AA18+1</f>
        <v>2</v>
      </c>
      <c r="AC18" s="1139">
        <v>2.4</v>
      </c>
      <c r="AD18" s="1131">
        <v>2</v>
      </c>
      <c r="AE18" s="1139">
        <f>6*Z18/1000</f>
        <v>7.8E-2</v>
      </c>
      <c r="AF18" s="1131">
        <v>2</v>
      </c>
      <c r="AG18" s="1143">
        <f t="shared" ref="AG18:AG22" si="6">(40*Z18/1000)*AF18</f>
        <v>1.04</v>
      </c>
      <c r="AH18" s="1140">
        <v>1</v>
      </c>
      <c r="AI18" s="1122">
        <f>$J$11*((((AC18)+(AE18*AD18)+(AG18*AF18))*AH18)*AB18)</f>
        <v>74.176000000000002</v>
      </c>
      <c r="AJ18" s="1144">
        <f t="shared" ref="AJ18:AJ23" si="7">((IF(Q18=$AK$7,X18,0)+(IF(Z18=$AK$7,AI18,0))))*$AK$9</f>
        <v>0</v>
      </c>
      <c r="AK18" s="1145">
        <f t="shared" ref="AK18:AK23" si="8">((IF(Q18=$AL$7,X18,0)+(IF(Z18=$AL$7,AI18,0))))*$AL$9</f>
        <v>77.303754666666677</v>
      </c>
      <c r="AL18" s="1146">
        <f t="shared" si="4"/>
        <v>0</v>
      </c>
    </row>
    <row r="19" spans="1:38" ht="18.75">
      <c r="A19" s="1126"/>
      <c r="B19" s="1127"/>
      <c r="C19" s="1128"/>
      <c r="D19" s="1127"/>
      <c r="E19" s="1127" t="s">
        <v>1283</v>
      </c>
      <c r="F19" s="1209">
        <v>1.5</v>
      </c>
      <c r="G19" s="1209">
        <v>0.15</v>
      </c>
      <c r="H19" s="1209">
        <v>2.38</v>
      </c>
      <c r="I19" s="1130">
        <v>1</v>
      </c>
      <c r="J19" s="1131"/>
      <c r="K19" s="1132"/>
      <c r="L19" s="1133">
        <f>I19*(F19*G19*H19)</f>
        <v>0.53549999999999998</v>
      </c>
      <c r="M19" s="1127" t="s">
        <v>1284</v>
      </c>
      <c r="N19" s="1134"/>
      <c r="O19" s="1094"/>
      <c r="P19" s="1135" t="s">
        <v>1285</v>
      </c>
      <c r="Q19" s="1136">
        <v>8</v>
      </c>
      <c r="R19" s="1137">
        <v>0.2</v>
      </c>
      <c r="S19" s="1138">
        <f>(H18/R19+1)</f>
        <v>8.5</v>
      </c>
      <c r="T19" s="1139">
        <f>(F18+G18+0.3)-(0.03*2)</f>
        <v>0.7</v>
      </c>
      <c r="U19" s="1131">
        <v>2</v>
      </c>
      <c r="V19" s="1139">
        <f>6*Q19/1000</f>
        <v>4.8000000000000001E-2</v>
      </c>
      <c r="W19" s="1140">
        <v>7</v>
      </c>
      <c r="X19" s="1122">
        <f>I18*(((((T19)+(V19*U19))*S19)*W19))</f>
        <v>47.361999999999995</v>
      </c>
      <c r="Y19" s="1141" t="s">
        <v>1286</v>
      </c>
      <c r="Z19" s="1142">
        <v>13</v>
      </c>
      <c r="AA19" s="1137">
        <v>0.15</v>
      </c>
      <c r="AB19" s="1138">
        <f>($G$19)/AA19+1</f>
        <v>2</v>
      </c>
      <c r="AC19" s="1139">
        <f>2.38+1.5+1.5+0.275+0.275</f>
        <v>5.9300000000000006</v>
      </c>
      <c r="AD19" s="1131">
        <v>2</v>
      </c>
      <c r="AE19" s="1139">
        <f>6*Z19/1000</f>
        <v>7.8E-2</v>
      </c>
      <c r="AF19" s="1131">
        <v>2</v>
      </c>
      <c r="AG19" s="1143">
        <f t="shared" si="6"/>
        <v>1.04</v>
      </c>
      <c r="AH19" s="1140">
        <v>1</v>
      </c>
      <c r="AI19" s="1122">
        <f t="shared" ref="AI19:AI20" si="9">$J$11*((((AC19)+(AE19*AD19)+(AG19*AF19))*AH19)*AB19)</f>
        <v>130.65600000000001</v>
      </c>
      <c r="AJ19" s="1144">
        <f t="shared" si="7"/>
        <v>0</v>
      </c>
      <c r="AK19" s="1145">
        <f t="shared" si="8"/>
        <v>136.16532800000002</v>
      </c>
      <c r="AL19" s="1146">
        <f t="shared" si="4"/>
        <v>0</v>
      </c>
    </row>
    <row r="20" spans="1:38" ht="18.75">
      <c r="A20" s="1126"/>
      <c r="B20" s="1127"/>
      <c r="C20" s="1128"/>
      <c r="D20" s="1127"/>
      <c r="E20" s="1127" t="s">
        <v>1287</v>
      </c>
      <c r="F20" s="1209">
        <v>1.5</v>
      </c>
      <c r="G20" s="1209">
        <v>0.15</v>
      </c>
      <c r="H20" s="1209">
        <v>2.11</v>
      </c>
      <c r="I20" s="1130">
        <v>1</v>
      </c>
      <c r="J20" s="1131"/>
      <c r="K20" s="1132"/>
      <c r="L20" s="1133">
        <f>I20*(F20*G20*H20)</f>
        <v>0.47474999999999995</v>
      </c>
      <c r="M20" s="1127" t="s">
        <v>1288</v>
      </c>
      <c r="N20" s="1134"/>
      <c r="O20" s="1094"/>
      <c r="P20" s="1135"/>
      <c r="Q20" s="1136"/>
      <c r="R20" s="1137"/>
      <c r="S20" s="1138"/>
      <c r="T20" s="1139"/>
      <c r="U20" s="1131"/>
      <c r="V20" s="1139"/>
      <c r="W20" s="1140"/>
      <c r="X20" s="1122"/>
      <c r="Y20" s="1141" t="s">
        <v>1289</v>
      </c>
      <c r="Z20" s="1142">
        <v>13</v>
      </c>
      <c r="AA20" s="1137">
        <v>0.15</v>
      </c>
      <c r="AB20" s="1138">
        <f>($G$19)/AA20+1</f>
        <v>2</v>
      </c>
      <c r="AC20" s="1139">
        <f>1.5+0.275</f>
        <v>1.7749999999999999</v>
      </c>
      <c r="AD20" s="1131">
        <v>2</v>
      </c>
      <c r="AE20" s="1139">
        <f>6*Z20/1000</f>
        <v>7.8E-2</v>
      </c>
      <c r="AF20" s="1131">
        <v>2</v>
      </c>
      <c r="AG20" s="1143">
        <f t="shared" si="6"/>
        <v>1.04</v>
      </c>
      <c r="AH20" s="1140">
        <v>1</v>
      </c>
      <c r="AI20" s="1122">
        <f t="shared" si="9"/>
        <v>64.176000000000002</v>
      </c>
      <c r="AJ20" s="1144">
        <f t="shared" si="7"/>
        <v>0</v>
      </c>
      <c r="AK20" s="1145">
        <f t="shared" si="8"/>
        <v>66.88208800000001</v>
      </c>
      <c r="AL20" s="1146">
        <f t="shared" si="4"/>
        <v>0</v>
      </c>
    </row>
    <row r="21" spans="1:38" ht="18.75">
      <c r="A21" s="1126"/>
      <c r="B21" s="1127"/>
      <c r="C21" s="1128"/>
      <c r="D21" s="1127"/>
      <c r="E21" s="1127"/>
      <c r="F21" s="1209"/>
      <c r="G21" s="1209"/>
      <c r="H21" s="1209"/>
      <c r="I21" s="1130"/>
      <c r="J21" s="1131"/>
      <c r="K21" s="1132"/>
      <c r="L21" s="1133"/>
      <c r="M21" s="1127" t="s">
        <v>1290</v>
      </c>
      <c r="N21" s="1134"/>
      <c r="O21" s="1094"/>
      <c r="P21" s="1135"/>
      <c r="Q21" s="1136"/>
      <c r="R21" s="1137"/>
      <c r="S21" s="1138"/>
      <c r="T21" s="1139"/>
      <c r="U21" s="1131"/>
      <c r="V21" s="1139"/>
      <c r="W21" s="1140"/>
      <c r="X21" s="1145"/>
      <c r="Y21" s="1184" t="s">
        <v>1294</v>
      </c>
      <c r="Z21" s="1137">
        <v>13</v>
      </c>
      <c r="AA21" s="1137">
        <v>0.15</v>
      </c>
      <c r="AB21" s="1138">
        <f>($G$19)/AA21+1</f>
        <v>2</v>
      </c>
      <c r="AC21" s="1139">
        <f>1.5+0.275</f>
        <v>1.7749999999999999</v>
      </c>
      <c r="AD21" s="1131">
        <v>2</v>
      </c>
      <c r="AE21" s="1139">
        <f t="shared" ref="AE21:AE22" si="10">6*Z21/1000</f>
        <v>7.8E-2</v>
      </c>
      <c r="AF21" s="1131">
        <v>2</v>
      </c>
      <c r="AG21" s="1143">
        <f t="shared" si="6"/>
        <v>1.04</v>
      </c>
      <c r="AH21" s="1140">
        <v>2</v>
      </c>
      <c r="AI21" s="1122">
        <f>$J$11*((((AC21)+(AE21*AD21)+(AG21*AF21))*AH21)*AB21)</f>
        <v>128.352</v>
      </c>
      <c r="AJ21" s="1144">
        <f t="shared" si="7"/>
        <v>0</v>
      </c>
      <c r="AK21" s="1145">
        <f t="shared" si="8"/>
        <v>133.76417600000002</v>
      </c>
      <c r="AL21" s="1146">
        <f t="shared" si="4"/>
        <v>0</v>
      </c>
    </row>
    <row r="22" spans="1:38" ht="18.75">
      <c r="A22" s="1126"/>
      <c r="B22" s="1127"/>
      <c r="C22" s="1128"/>
      <c r="D22" s="1127"/>
      <c r="E22" s="1127"/>
      <c r="F22" s="1209"/>
      <c r="G22" s="1209"/>
      <c r="H22" s="1209"/>
      <c r="I22" s="1130"/>
      <c r="J22" s="1131"/>
      <c r="K22" s="1132"/>
      <c r="L22" s="1133"/>
      <c r="M22" s="1127" t="s">
        <v>1292</v>
      </c>
      <c r="N22" s="1134">
        <f>I19*(F19*H19)</f>
        <v>3.57</v>
      </c>
      <c r="O22" s="1094"/>
      <c r="P22" s="1135"/>
      <c r="Q22" s="1136"/>
      <c r="R22" s="1137"/>
      <c r="S22" s="1138"/>
      <c r="T22" s="1139"/>
      <c r="U22" s="1131"/>
      <c r="V22" s="1139"/>
      <c r="W22" s="1140"/>
      <c r="X22" s="1122"/>
      <c r="Y22" s="1141" t="s">
        <v>1291</v>
      </c>
      <c r="Z22" s="1142">
        <v>8</v>
      </c>
      <c r="AA22" s="1137">
        <v>0.15</v>
      </c>
      <c r="AB22" s="1138">
        <f>(H19)/AA22+1</f>
        <v>16.866666666666667</v>
      </c>
      <c r="AC22" s="1139">
        <f>(F19+0.3)-0.06</f>
        <v>1.74</v>
      </c>
      <c r="AD22" s="1131">
        <v>2</v>
      </c>
      <c r="AE22" s="1139">
        <f t="shared" si="10"/>
        <v>4.8000000000000001E-2</v>
      </c>
      <c r="AF22" s="1131">
        <v>0</v>
      </c>
      <c r="AG22" s="1143">
        <f t="shared" si="6"/>
        <v>0</v>
      </c>
      <c r="AH22" s="1140">
        <v>2</v>
      </c>
      <c r="AI22" s="1122">
        <f>$J$11*((((AC22)+(AE22*AD22)+(AG22*AF22))*AH22)*AB22)</f>
        <v>495.47520000000003</v>
      </c>
      <c r="AJ22" s="1144">
        <f t="shared" si="7"/>
        <v>0</v>
      </c>
      <c r="AK22" s="1145">
        <f t="shared" si="8"/>
        <v>0</v>
      </c>
      <c r="AL22" s="1146">
        <f t="shared" si="4"/>
        <v>0</v>
      </c>
    </row>
    <row r="23" spans="1:38" ht="18.75">
      <c r="A23" s="1126"/>
      <c r="B23" s="1127"/>
      <c r="C23" s="1128"/>
      <c r="D23" s="1127"/>
      <c r="E23" s="1127"/>
      <c r="F23" s="1209"/>
      <c r="G23" s="1209"/>
      <c r="H23" s="1209"/>
      <c r="I23" s="1130"/>
      <c r="J23" s="1131"/>
      <c r="K23" s="1132"/>
      <c r="L23" s="1133"/>
      <c r="M23" s="1127" t="s">
        <v>1293</v>
      </c>
      <c r="N23" s="1134">
        <f>I20*(F20*H20)</f>
        <v>3.165</v>
      </c>
      <c r="O23" s="1094"/>
      <c r="P23" s="1135"/>
      <c r="Q23" s="1136"/>
      <c r="R23" s="1137"/>
      <c r="S23" s="1138"/>
      <c r="T23" s="1139"/>
      <c r="U23" s="1131"/>
      <c r="V23" s="1139"/>
      <c r="W23" s="1140"/>
      <c r="X23" s="1122"/>
      <c r="Y23" s="1141"/>
      <c r="Z23" s="1142"/>
      <c r="AA23" s="1137"/>
      <c r="AB23" s="1138"/>
      <c r="AC23" s="1139"/>
      <c r="AD23" s="1131"/>
      <c r="AE23" s="1139"/>
      <c r="AF23" s="1131"/>
      <c r="AG23" s="1139"/>
      <c r="AH23" s="1140"/>
      <c r="AI23" s="1122"/>
      <c r="AJ23" s="1144">
        <f t="shared" si="7"/>
        <v>0</v>
      </c>
      <c r="AK23" s="1145">
        <f t="shared" si="8"/>
        <v>0</v>
      </c>
      <c r="AL23" s="1146">
        <f t="shared" si="4"/>
        <v>0</v>
      </c>
    </row>
    <row r="24" spans="1:38" ht="18.75">
      <c r="A24" s="1126"/>
      <c r="B24" s="1127"/>
      <c r="C24" s="1128"/>
      <c r="D24" s="1127"/>
      <c r="E24" s="1127"/>
      <c r="F24" s="1211"/>
      <c r="G24" s="1211"/>
      <c r="H24" s="1211"/>
      <c r="I24" s="1130"/>
      <c r="J24" s="1169"/>
      <c r="K24" s="1132"/>
      <c r="L24" s="1133"/>
      <c r="M24" s="1127"/>
      <c r="N24" s="1134"/>
      <c r="O24" s="1094"/>
      <c r="P24" s="1135"/>
      <c r="Q24" s="1136"/>
      <c r="R24" s="1137"/>
      <c r="S24" s="1138"/>
      <c r="T24" s="1139"/>
      <c r="U24" s="1131"/>
      <c r="V24" s="1139"/>
      <c r="W24" s="1140"/>
      <c r="X24" s="1122"/>
      <c r="Y24" s="1141"/>
      <c r="Z24" s="1142"/>
      <c r="AA24" s="1137"/>
      <c r="AB24" s="1138"/>
      <c r="AC24" s="1139"/>
      <c r="AD24" s="1131"/>
      <c r="AE24" s="1139"/>
      <c r="AF24" s="1131"/>
      <c r="AG24" s="1139"/>
      <c r="AH24" s="1140"/>
      <c r="AI24" s="1122"/>
      <c r="AJ24" s="1144"/>
      <c r="AK24" s="1145"/>
      <c r="AL24" s="1146"/>
    </row>
    <row r="25" spans="1:38" ht="18.75">
      <c r="A25" s="1136"/>
      <c r="B25" s="1127"/>
      <c r="C25" s="1128"/>
      <c r="D25" s="1127">
        <v>3</v>
      </c>
      <c r="E25" s="1127" t="s">
        <v>1279</v>
      </c>
      <c r="F25" s="1209">
        <v>0.3</v>
      </c>
      <c r="G25" s="1209">
        <v>0.16</v>
      </c>
      <c r="H25" s="1209">
        <v>1.5</v>
      </c>
      <c r="I25" s="1181">
        <v>1</v>
      </c>
      <c r="J25" s="1131">
        <v>5</v>
      </c>
      <c r="K25" s="1132"/>
      <c r="L25" s="1133">
        <f>I25*(((F25*G25*H25)/2)*J25)</f>
        <v>0.18000000000000002</v>
      </c>
      <c r="M25" s="1127" t="s">
        <v>1280</v>
      </c>
      <c r="N25" s="1134">
        <f>I25*(G25*H25*J25)</f>
        <v>1.2</v>
      </c>
      <c r="O25" s="1094"/>
      <c r="P25" s="1182" t="s">
        <v>1281</v>
      </c>
      <c r="Q25" s="1136">
        <v>8</v>
      </c>
      <c r="R25" s="1137"/>
      <c r="S25" s="1138">
        <v>1</v>
      </c>
      <c r="T25" s="1139">
        <f>(H25+0.4)-0.06</f>
        <v>1.8399999999999999</v>
      </c>
      <c r="U25" s="1131">
        <v>2</v>
      </c>
      <c r="V25" s="1139">
        <f>6*Q25/1000</f>
        <v>4.8000000000000001E-2</v>
      </c>
      <c r="W25" s="1140">
        <v>5</v>
      </c>
      <c r="X25" s="1122">
        <f>I25*((((T25)+(V25*U25)*S25)*W25))</f>
        <v>9.68</v>
      </c>
      <c r="Y25" s="1183" t="s">
        <v>1282</v>
      </c>
      <c r="Z25" s="1142">
        <v>13</v>
      </c>
      <c r="AA25" s="1137">
        <v>0.15</v>
      </c>
      <c r="AB25" s="1138">
        <f>($G$19)/AA25+1</f>
        <v>2</v>
      </c>
      <c r="AC25" s="1139">
        <v>3.77</v>
      </c>
      <c r="AD25" s="1131">
        <v>2</v>
      </c>
      <c r="AE25" s="1139">
        <f>6*Z25/1000</f>
        <v>7.8E-2</v>
      </c>
      <c r="AF25" s="1131">
        <v>2</v>
      </c>
      <c r="AG25" s="1143">
        <f t="shared" ref="AG25:AG29" si="11">(40*Z25/1000)*AF25</f>
        <v>1.04</v>
      </c>
      <c r="AH25" s="1140">
        <v>1</v>
      </c>
      <c r="AI25" s="1122">
        <f>$J$11*((((AC25)+(AE25*AD25)+(AG25*AF25))*AH25)*AB25)</f>
        <v>96.096000000000004</v>
      </c>
      <c r="AJ25" s="1144">
        <f t="shared" ref="AJ25:AJ30" si="12">((IF(Q25=$AK$7,X25,0)+(IF(Z25=$AK$7,AI25,0))))*$AK$9</f>
        <v>0</v>
      </c>
      <c r="AK25" s="1145">
        <f t="shared" ref="AK25:AK30" si="13">((IF(Q25=$AL$7,X25,0)+(IF(Z25=$AL$7,AI25,0))))*$AL$9</f>
        <v>100.148048</v>
      </c>
      <c r="AL25" s="1146">
        <f t="shared" ref="AL25:AL30" si="14">((IF(Q25=$AM$7,X25,0)+(IF(Z25=$AM$7,AI25,0))))*$AM$9</f>
        <v>0</v>
      </c>
    </row>
    <row r="26" spans="1:38" ht="18.75">
      <c r="A26" s="1126"/>
      <c r="B26" s="1127"/>
      <c r="C26" s="1128"/>
      <c r="D26" s="1127"/>
      <c r="E26" s="1127" t="s">
        <v>1283</v>
      </c>
      <c r="F26" s="1209">
        <v>1.5</v>
      </c>
      <c r="G26" s="1209">
        <v>0.15</v>
      </c>
      <c r="H26" s="1209">
        <v>1.7</v>
      </c>
      <c r="I26" s="1130">
        <v>1</v>
      </c>
      <c r="J26" s="1131"/>
      <c r="K26" s="1132"/>
      <c r="L26" s="1133">
        <f>I26*(F26*G26*H26)</f>
        <v>0.38249999999999995</v>
      </c>
      <c r="M26" s="1127" t="s">
        <v>1284</v>
      </c>
      <c r="N26" s="1134"/>
      <c r="O26" s="1094"/>
      <c r="P26" s="1135" t="s">
        <v>1285</v>
      </c>
      <c r="Q26" s="1136">
        <v>8</v>
      </c>
      <c r="R26" s="1137">
        <v>0.2</v>
      </c>
      <c r="S26" s="1138">
        <f>(H25/R26+1)</f>
        <v>8.5</v>
      </c>
      <c r="T26" s="1139">
        <f>(F25+G25+0.3)-(0.03*2)</f>
        <v>0.7</v>
      </c>
      <c r="U26" s="1131">
        <v>2</v>
      </c>
      <c r="V26" s="1139">
        <f>6*Q26/1000</f>
        <v>4.8000000000000001E-2</v>
      </c>
      <c r="W26" s="1140">
        <v>5</v>
      </c>
      <c r="X26" s="1122">
        <f>I25*(((((T26)+(V26*U26))*S26)*W26))</f>
        <v>33.83</v>
      </c>
      <c r="Y26" s="1141" t="s">
        <v>1286</v>
      </c>
      <c r="Z26" s="1142">
        <v>13</v>
      </c>
      <c r="AA26" s="1137">
        <v>0.15</v>
      </c>
      <c r="AB26" s="1138">
        <f>($G$19)/AA26+1</f>
        <v>2</v>
      </c>
      <c r="AC26" s="1139">
        <v>3.31</v>
      </c>
      <c r="AD26" s="1131">
        <v>2</v>
      </c>
      <c r="AE26" s="1139">
        <f>6*Z26/1000</f>
        <v>7.8E-2</v>
      </c>
      <c r="AF26" s="1131">
        <v>2</v>
      </c>
      <c r="AG26" s="1143">
        <f t="shared" si="11"/>
        <v>1.04</v>
      </c>
      <c r="AH26" s="1140">
        <v>1</v>
      </c>
      <c r="AI26" s="1122">
        <f t="shared" ref="AI26:AI27" si="15">$J$11*((((AC26)+(AE26*AD26)+(AG26*AF26))*AH26)*AB26)</f>
        <v>88.736000000000004</v>
      </c>
      <c r="AJ26" s="1144">
        <f t="shared" si="12"/>
        <v>0</v>
      </c>
      <c r="AK26" s="1145">
        <f t="shared" si="13"/>
        <v>92.477701333333343</v>
      </c>
      <c r="AL26" s="1146">
        <f t="shared" si="14"/>
        <v>0</v>
      </c>
    </row>
    <row r="27" spans="1:38" ht="18.75">
      <c r="A27" s="1126"/>
      <c r="B27" s="1127"/>
      <c r="C27" s="1128"/>
      <c r="D27" s="1127"/>
      <c r="E27" s="1127" t="s">
        <v>1287</v>
      </c>
      <c r="F27" s="1209">
        <v>1.5</v>
      </c>
      <c r="G27" s="1209">
        <v>0.15</v>
      </c>
      <c r="H27" s="1209">
        <v>1.01</v>
      </c>
      <c r="I27" s="1130">
        <v>1</v>
      </c>
      <c r="J27" s="1131"/>
      <c r="K27" s="1132"/>
      <c r="L27" s="1133">
        <f>I27*(F27*G27*H27)</f>
        <v>0.22724999999999998</v>
      </c>
      <c r="M27" s="1127" t="s">
        <v>1288</v>
      </c>
      <c r="N27" s="1134"/>
      <c r="O27" s="1094"/>
      <c r="P27" s="1135"/>
      <c r="Q27" s="1136"/>
      <c r="R27" s="1137"/>
      <c r="S27" s="1138"/>
      <c r="T27" s="1139"/>
      <c r="U27" s="1131"/>
      <c r="V27" s="1139"/>
      <c r="W27" s="1140"/>
      <c r="X27" s="1122"/>
      <c r="Y27" s="1141" t="s">
        <v>1289</v>
      </c>
      <c r="Z27" s="1142">
        <v>13</v>
      </c>
      <c r="AA27" s="1137">
        <v>0.15</v>
      </c>
      <c r="AB27" s="1138">
        <f>($G$19)/AA27+1</f>
        <v>2</v>
      </c>
      <c r="AC27" s="1139">
        <v>2.12</v>
      </c>
      <c r="AD27" s="1131">
        <v>2</v>
      </c>
      <c r="AE27" s="1139">
        <f>6*Z27/1000</f>
        <v>7.8E-2</v>
      </c>
      <c r="AF27" s="1131">
        <v>2</v>
      </c>
      <c r="AG27" s="1143">
        <f t="shared" si="11"/>
        <v>1.04</v>
      </c>
      <c r="AH27" s="1140">
        <v>1</v>
      </c>
      <c r="AI27" s="1122">
        <f t="shared" si="15"/>
        <v>69.695999999999998</v>
      </c>
      <c r="AJ27" s="1144">
        <f t="shared" si="12"/>
        <v>0</v>
      </c>
      <c r="AK27" s="1145">
        <f t="shared" si="13"/>
        <v>72.634848000000005</v>
      </c>
      <c r="AL27" s="1146">
        <f t="shared" si="14"/>
        <v>0</v>
      </c>
    </row>
    <row r="28" spans="1:38" ht="18.75">
      <c r="A28" s="1126"/>
      <c r="B28" s="1127"/>
      <c r="C28" s="1128"/>
      <c r="D28" s="1127"/>
      <c r="E28" s="1127"/>
      <c r="F28" s="1129"/>
      <c r="G28" s="1129"/>
      <c r="H28" s="1129"/>
      <c r="I28" s="1130"/>
      <c r="J28" s="1131"/>
      <c r="K28" s="1132"/>
      <c r="L28" s="1133"/>
      <c r="M28" s="1127" t="s">
        <v>1290</v>
      </c>
      <c r="N28" s="1134"/>
      <c r="O28" s="1094"/>
      <c r="P28" s="1135"/>
      <c r="Q28" s="1136"/>
      <c r="R28" s="1137"/>
      <c r="S28" s="1138"/>
      <c r="T28" s="1139"/>
      <c r="U28" s="1131"/>
      <c r="V28" s="1139"/>
      <c r="W28" s="1140"/>
      <c r="X28" s="1145"/>
      <c r="Y28" s="1184" t="s">
        <v>1294</v>
      </c>
      <c r="Z28" s="1137">
        <v>13</v>
      </c>
      <c r="AA28" s="1137">
        <v>0.15</v>
      </c>
      <c r="AB28" s="1138">
        <f>($G$19)/AA28+1</f>
        <v>2</v>
      </c>
      <c r="AC28" s="1139">
        <v>1.61</v>
      </c>
      <c r="AD28" s="1131">
        <v>2</v>
      </c>
      <c r="AE28" s="1139">
        <f t="shared" ref="AE28:AE29" si="16">6*Z28/1000</f>
        <v>7.8E-2</v>
      </c>
      <c r="AF28" s="1131">
        <v>2</v>
      </c>
      <c r="AG28" s="1143">
        <f t="shared" si="11"/>
        <v>1.04</v>
      </c>
      <c r="AH28" s="1140">
        <v>2</v>
      </c>
      <c r="AI28" s="1122">
        <f>$J$11*((((AC28)+(AE28*AD28)+(AG28*AF28))*AH28)*AB28)</f>
        <v>123.072</v>
      </c>
      <c r="AJ28" s="1144">
        <f t="shared" si="12"/>
        <v>0</v>
      </c>
      <c r="AK28" s="1145">
        <f t="shared" si="13"/>
        <v>128.26153600000001</v>
      </c>
      <c r="AL28" s="1146">
        <f t="shared" si="14"/>
        <v>0</v>
      </c>
    </row>
    <row r="29" spans="1:38" ht="18.75">
      <c r="A29" s="1126"/>
      <c r="B29" s="1127"/>
      <c r="C29" s="1128"/>
      <c r="D29" s="1127"/>
      <c r="E29" s="1127"/>
      <c r="F29" s="1129"/>
      <c r="G29" s="1129"/>
      <c r="H29" s="1129"/>
      <c r="I29" s="1130"/>
      <c r="J29" s="1131"/>
      <c r="K29" s="1132"/>
      <c r="L29" s="1133"/>
      <c r="M29" s="1127" t="s">
        <v>1292</v>
      </c>
      <c r="N29" s="1134">
        <f>I26*(F26*H26)</f>
        <v>2.5499999999999998</v>
      </c>
      <c r="O29" s="1094"/>
      <c r="P29" s="1135"/>
      <c r="Q29" s="1136"/>
      <c r="R29" s="1137"/>
      <c r="S29" s="1138"/>
      <c r="T29" s="1139"/>
      <c r="U29" s="1131"/>
      <c r="V29" s="1139"/>
      <c r="W29" s="1140"/>
      <c r="X29" s="1122"/>
      <c r="Y29" s="1141" t="s">
        <v>1291</v>
      </c>
      <c r="Z29" s="1142">
        <v>8</v>
      </c>
      <c r="AA29" s="1137">
        <v>0.15</v>
      </c>
      <c r="AB29" s="1138">
        <f>(H26)/AA29+1</f>
        <v>12.333333333333334</v>
      </c>
      <c r="AC29" s="1139">
        <f>(F26+0.3)-0.06</f>
        <v>1.74</v>
      </c>
      <c r="AD29" s="1131">
        <v>2</v>
      </c>
      <c r="AE29" s="1139">
        <f t="shared" si="16"/>
        <v>4.8000000000000001E-2</v>
      </c>
      <c r="AF29" s="1131">
        <v>0</v>
      </c>
      <c r="AG29" s="1143">
        <f t="shared" si="11"/>
        <v>0</v>
      </c>
      <c r="AH29" s="1140">
        <v>2</v>
      </c>
      <c r="AI29" s="1122">
        <f>$J$11*((((AC29)+(AE29*AD29)+(AG29*AF29))*AH29)*AB29)</f>
        <v>362.30400000000003</v>
      </c>
      <c r="AJ29" s="1144">
        <f t="shared" si="12"/>
        <v>0</v>
      </c>
      <c r="AK29" s="1145">
        <f t="shared" si="13"/>
        <v>0</v>
      </c>
      <c r="AL29" s="1146">
        <f t="shared" si="14"/>
        <v>0</v>
      </c>
    </row>
    <row r="30" spans="1:38" ht="18.75">
      <c r="A30" s="1126"/>
      <c r="B30" s="1127"/>
      <c r="C30" s="1128"/>
      <c r="D30" s="1127"/>
      <c r="E30" s="1127"/>
      <c r="F30" s="1129"/>
      <c r="G30" s="1129"/>
      <c r="H30" s="1129"/>
      <c r="I30" s="1130"/>
      <c r="J30" s="1131"/>
      <c r="K30" s="1132"/>
      <c r="L30" s="1133"/>
      <c r="M30" s="1127" t="s">
        <v>1293</v>
      </c>
      <c r="N30" s="1134">
        <f>I27*(F27*H27)</f>
        <v>1.5150000000000001</v>
      </c>
      <c r="O30" s="1094"/>
      <c r="P30" s="1135"/>
      <c r="Q30" s="1136"/>
      <c r="R30" s="1137"/>
      <c r="S30" s="1138"/>
      <c r="T30" s="1139"/>
      <c r="U30" s="1131"/>
      <c r="V30" s="1139"/>
      <c r="W30" s="1140"/>
      <c r="X30" s="1122"/>
      <c r="Y30" s="1141"/>
      <c r="Z30" s="1142"/>
      <c r="AA30" s="1137"/>
      <c r="AB30" s="1138"/>
      <c r="AC30" s="1139"/>
      <c r="AD30" s="1131"/>
      <c r="AE30" s="1139"/>
      <c r="AF30" s="1131"/>
      <c r="AG30" s="1139"/>
      <c r="AH30" s="1140"/>
      <c r="AI30" s="1122"/>
      <c r="AJ30" s="1144">
        <f t="shared" si="12"/>
        <v>0</v>
      </c>
      <c r="AK30" s="1145">
        <f t="shared" si="13"/>
        <v>0</v>
      </c>
      <c r="AL30" s="1146">
        <f t="shared" si="14"/>
        <v>0</v>
      </c>
    </row>
    <row r="31" spans="1:38" ht="19.5" thickBot="1">
      <c r="A31" s="1147"/>
      <c r="B31" s="1148"/>
      <c r="C31" s="1149"/>
      <c r="D31" s="1148"/>
      <c r="E31" s="1148"/>
      <c r="F31" s="1185"/>
      <c r="G31" s="1185"/>
      <c r="H31" s="1185"/>
      <c r="I31" s="1151"/>
      <c r="J31" s="1186"/>
      <c r="K31" s="1153"/>
      <c r="L31" s="1154"/>
      <c r="M31" s="1148"/>
      <c r="N31" s="1155"/>
      <c r="O31" s="1094"/>
      <c r="P31" s="1156"/>
      <c r="Q31" s="1157"/>
      <c r="R31" s="1158"/>
      <c r="S31" s="1159"/>
      <c r="T31" s="1160"/>
      <c r="U31" s="1152"/>
      <c r="V31" s="1160"/>
      <c r="W31" s="1161"/>
      <c r="X31" s="1162"/>
      <c r="Y31" s="1163"/>
      <c r="Z31" s="1164"/>
      <c r="AA31" s="1158"/>
      <c r="AB31" s="1159"/>
      <c r="AC31" s="1160"/>
      <c r="AD31" s="1152"/>
      <c r="AE31" s="1160"/>
      <c r="AF31" s="1152"/>
      <c r="AG31" s="1160"/>
      <c r="AH31" s="1161"/>
      <c r="AI31" s="1162"/>
      <c r="AJ31" s="1102"/>
      <c r="AK31" s="1165"/>
      <c r="AL31" s="1187"/>
    </row>
    <row r="32" spans="1:38" ht="20.25" thickTop="1" thickBot="1">
      <c r="A32" s="1188"/>
      <c r="B32" s="1189"/>
      <c r="C32" s="1190"/>
      <c r="D32" s="1189"/>
      <c r="E32" s="1191" t="s">
        <v>468</v>
      </c>
      <c r="F32" s="1192"/>
      <c r="G32" s="1192"/>
      <c r="H32" s="1192"/>
      <c r="I32" s="1192"/>
      <c r="J32" s="1192"/>
      <c r="K32" s="1193"/>
      <c r="L32" s="1194">
        <f>SUM(L11:L31)</f>
        <v>3.2264999999999997</v>
      </c>
      <c r="M32" s="1189"/>
      <c r="N32" s="1194">
        <f>SUM(N11:N31)</f>
        <v>21.51</v>
      </c>
      <c r="O32" s="1195"/>
      <c r="P32" s="1196"/>
      <c r="Q32" s="1188"/>
      <c r="R32" s="1197"/>
      <c r="S32" s="1198"/>
      <c r="T32" s="1199"/>
      <c r="U32" s="1200"/>
      <c r="V32" s="1199"/>
      <c r="W32" s="1201"/>
      <c r="X32" s="1202"/>
      <c r="Y32" s="1203"/>
      <c r="Z32" s="1204"/>
      <c r="AA32" s="1197"/>
      <c r="AB32" s="1198"/>
      <c r="AC32" s="1199"/>
      <c r="AD32" s="1200"/>
      <c r="AE32" s="1199"/>
      <c r="AF32" s="1200"/>
      <c r="AG32" s="1199"/>
      <c r="AH32" s="1201"/>
      <c r="AI32" s="1202"/>
      <c r="AJ32" s="1205">
        <f>SUM(AJ11:AJ31)</f>
        <v>0</v>
      </c>
      <c r="AK32" s="1205">
        <f t="shared" ref="AK32:AL32" si="17">SUM(AK11:AK31)</f>
        <v>2024.7047253333333</v>
      </c>
      <c r="AL32" s="1206">
        <f t="shared" si="17"/>
        <v>0</v>
      </c>
    </row>
    <row r="33" spans="1:38" ht="19.5" thickTop="1">
      <c r="A33" s="1136"/>
      <c r="B33" s="1148"/>
      <c r="C33" s="1128"/>
      <c r="D33" s="1127"/>
      <c r="E33" s="1127"/>
      <c r="F33" s="1129"/>
      <c r="G33" s="1129"/>
      <c r="H33" s="1129"/>
      <c r="I33" s="1181"/>
      <c r="J33" s="1131"/>
      <c r="K33" s="1132"/>
      <c r="L33" s="1133"/>
      <c r="M33" s="1127"/>
      <c r="N33" s="1134"/>
      <c r="O33" s="1094"/>
      <c r="P33" s="1182"/>
      <c r="Q33" s="1136"/>
      <c r="R33" s="1137"/>
      <c r="S33" s="1138"/>
      <c r="T33" s="1139"/>
      <c r="U33" s="1131"/>
      <c r="V33" s="1139"/>
      <c r="W33" s="1140"/>
      <c r="X33" s="1122"/>
      <c r="Y33" s="1183"/>
      <c r="Z33" s="1142"/>
      <c r="AA33" s="1137"/>
      <c r="AB33" s="1138"/>
      <c r="AC33" s="1139"/>
      <c r="AD33" s="1131"/>
      <c r="AE33" s="1139"/>
      <c r="AF33" s="1131"/>
      <c r="AG33" s="1139"/>
      <c r="AH33" s="1140"/>
      <c r="AI33" s="1122"/>
      <c r="AJ33" s="1144"/>
      <c r="AK33" s="1145"/>
      <c r="AL33" s="1207"/>
    </row>
    <row r="34" spans="1:38" ht="18.75">
      <c r="A34" s="1136"/>
      <c r="B34" s="1166" t="s">
        <v>1277</v>
      </c>
      <c r="C34" s="1128" t="s">
        <v>373</v>
      </c>
      <c r="D34" s="1127">
        <v>1</v>
      </c>
      <c r="E34" s="1127" t="s">
        <v>1279</v>
      </c>
      <c r="F34" s="1129">
        <v>0.3</v>
      </c>
      <c r="G34" s="1129">
        <v>0.16</v>
      </c>
      <c r="H34" s="1129">
        <v>1.5</v>
      </c>
      <c r="I34" s="1181">
        <v>1</v>
      </c>
      <c r="J34" s="1131">
        <v>8</v>
      </c>
      <c r="K34" s="1132"/>
      <c r="L34" s="1133">
        <f>I34*(((F34*G34*H34)/2)*J34)</f>
        <v>0.28800000000000003</v>
      </c>
      <c r="M34" s="1127" t="s">
        <v>1280</v>
      </c>
      <c r="N34" s="1134">
        <f>I34*(G34*H34*J34)</f>
        <v>1.92</v>
      </c>
      <c r="O34" s="1094"/>
      <c r="P34" s="1182" t="s">
        <v>1281</v>
      </c>
      <c r="Q34" s="1136">
        <v>8</v>
      </c>
      <c r="R34" s="1137"/>
      <c r="S34" s="1138">
        <v>1</v>
      </c>
      <c r="T34" s="1139">
        <f>(H34+0.4)-0.06</f>
        <v>1.8399999999999999</v>
      </c>
      <c r="U34" s="1131">
        <v>2</v>
      </c>
      <c r="V34" s="1139">
        <f>6*Q34/1000</f>
        <v>4.8000000000000001E-2</v>
      </c>
      <c r="W34" s="1140">
        <v>8</v>
      </c>
      <c r="X34" s="1122">
        <f>I34*((((T34)+(V34*U34)*S34)*W34))</f>
        <v>15.488</v>
      </c>
      <c r="Y34" s="1183" t="s">
        <v>1282</v>
      </c>
      <c r="Z34" s="1142">
        <v>13</v>
      </c>
      <c r="AA34" s="1137">
        <v>0.15</v>
      </c>
      <c r="AB34" s="1138">
        <f>($G$19)/AA34+1</f>
        <v>2</v>
      </c>
      <c r="AC34" s="1139">
        <v>3.77</v>
      </c>
      <c r="AD34" s="1131">
        <v>2</v>
      </c>
      <c r="AE34" s="1139">
        <f>6*Z34/1000</f>
        <v>7.8E-2</v>
      </c>
      <c r="AF34" s="1131">
        <v>2</v>
      </c>
      <c r="AG34" s="1143">
        <f t="shared" ref="AG34:AG38" si="18">(40*Z34/1000)*AF34</f>
        <v>1.04</v>
      </c>
      <c r="AH34" s="1140">
        <v>1</v>
      </c>
      <c r="AI34" s="1122">
        <f>$J$11*((((AC34)+(AE34*AD34)+(AG34*AF34))*AH34)*AB34)</f>
        <v>96.096000000000004</v>
      </c>
      <c r="AJ34" s="1144">
        <f t="shared" ref="AJ34:AJ39" si="19">((IF(Q34=$AK$7,X34,0)+(IF(Z34=$AK$7,AI34,0))))*$AK$9</f>
        <v>0</v>
      </c>
      <c r="AK34" s="1145">
        <f t="shared" ref="AK34:AK39" si="20">((IF(Q34=$AL$7,X34,0)+(IF(Z34=$AL$7,AI34,0))))*$AL$9</f>
        <v>100.148048</v>
      </c>
      <c r="AL34" s="1146">
        <f t="shared" ref="AL34:AL39" si="21">((IF(Q34=$AM$7,X34,0)+(IF(Z34=$AM$7,AI34,0))))*$AM$9</f>
        <v>0</v>
      </c>
    </row>
    <row r="35" spans="1:38" ht="18.75">
      <c r="A35" s="1126"/>
      <c r="B35" s="1127"/>
      <c r="C35" s="1128"/>
      <c r="D35" s="1127"/>
      <c r="E35" s="1127" t="s">
        <v>1283</v>
      </c>
      <c r="F35" s="1129">
        <v>1.5</v>
      </c>
      <c r="G35" s="1129">
        <v>0.15</v>
      </c>
      <c r="H35" s="1129">
        <v>2.4</v>
      </c>
      <c r="I35" s="1130">
        <v>1</v>
      </c>
      <c r="J35" s="1131"/>
      <c r="K35" s="1132"/>
      <c r="L35" s="1133">
        <f>I35*(F35*G35*H35)</f>
        <v>0.53999999999999992</v>
      </c>
      <c r="M35" s="1127" t="s">
        <v>1284</v>
      </c>
      <c r="N35" s="1134"/>
      <c r="O35" s="1094"/>
      <c r="P35" s="1135" t="s">
        <v>1285</v>
      </c>
      <c r="Q35" s="1136">
        <v>8</v>
      </c>
      <c r="R35" s="1137">
        <v>0.2</v>
      </c>
      <c r="S35" s="1138">
        <f>(H34/R35+1)</f>
        <v>8.5</v>
      </c>
      <c r="T35" s="1139">
        <f>(F34+G34+0.3)-(0.03*2)</f>
        <v>0.7</v>
      </c>
      <c r="U35" s="1131">
        <v>2</v>
      </c>
      <c r="V35" s="1139">
        <f>6*Q35/1000</f>
        <v>4.8000000000000001E-2</v>
      </c>
      <c r="W35" s="1140">
        <v>8</v>
      </c>
      <c r="X35" s="1122">
        <f>I34*(((((T35)+(V35*U35))*S35)*W35))</f>
        <v>54.127999999999993</v>
      </c>
      <c r="Y35" s="1141" t="s">
        <v>1286</v>
      </c>
      <c r="Z35" s="1142">
        <v>13</v>
      </c>
      <c r="AA35" s="1137">
        <v>0.15</v>
      </c>
      <c r="AB35" s="1138">
        <f>($G$19)/AA35+1</f>
        <v>2</v>
      </c>
      <c r="AC35" s="1139">
        <v>4.12</v>
      </c>
      <c r="AD35" s="1131">
        <v>2</v>
      </c>
      <c r="AE35" s="1139">
        <f>6*Z35/1000</f>
        <v>7.8E-2</v>
      </c>
      <c r="AF35" s="1131">
        <v>2</v>
      </c>
      <c r="AG35" s="1143">
        <f t="shared" si="18"/>
        <v>1.04</v>
      </c>
      <c r="AH35" s="1140">
        <v>1</v>
      </c>
      <c r="AI35" s="1122">
        <f t="shared" ref="AI35:AI36" si="22">$J$11*((((AC35)+(AE35*AD35)+(AG35*AF35))*AH35)*AB35)</f>
        <v>101.696</v>
      </c>
      <c r="AJ35" s="1144">
        <f t="shared" si="19"/>
        <v>0</v>
      </c>
      <c r="AK35" s="1145">
        <f t="shared" si="20"/>
        <v>105.98418133333334</v>
      </c>
      <c r="AL35" s="1146">
        <f t="shared" si="21"/>
        <v>0</v>
      </c>
    </row>
    <row r="36" spans="1:38" ht="18.75">
      <c r="A36" s="1126"/>
      <c r="B36" s="1127"/>
      <c r="C36" s="1128"/>
      <c r="D36" s="1127"/>
      <c r="E36" s="1127" t="s">
        <v>1287</v>
      </c>
      <c r="F36" s="1129">
        <v>1.5</v>
      </c>
      <c r="G36" s="1129">
        <v>0.15</v>
      </c>
      <c r="H36" s="1129">
        <v>1.536</v>
      </c>
      <c r="I36" s="1130">
        <v>1</v>
      </c>
      <c r="J36" s="1131"/>
      <c r="K36" s="1132"/>
      <c r="L36" s="1133">
        <f>I36*(F36*G36*H36)</f>
        <v>0.34559999999999996</v>
      </c>
      <c r="M36" s="1127" t="s">
        <v>1288</v>
      </c>
      <c r="N36" s="1134"/>
      <c r="O36" s="1094"/>
      <c r="P36" s="1135"/>
      <c r="Q36" s="1136"/>
      <c r="R36" s="1137"/>
      <c r="S36" s="1138"/>
      <c r="T36" s="1139"/>
      <c r="U36" s="1131"/>
      <c r="V36" s="1139"/>
      <c r="W36" s="1140"/>
      <c r="X36" s="1122"/>
      <c r="Y36" s="1141" t="s">
        <v>1289</v>
      </c>
      <c r="Z36" s="1142">
        <v>13</v>
      </c>
      <c r="AA36" s="1137">
        <v>0.15</v>
      </c>
      <c r="AB36" s="1138">
        <f>($G$19)/AA36+1</f>
        <v>2</v>
      </c>
      <c r="AC36" s="1139">
        <v>1.37</v>
      </c>
      <c r="AD36" s="1131">
        <v>2</v>
      </c>
      <c r="AE36" s="1139">
        <f>6*Z36/1000</f>
        <v>7.8E-2</v>
      </c>
      <c r="AF36" s="1131">
        <v>2</v>
      </c>
      <c r="AG36" s="1143">
        <f t="shared" si="18"/>
        <v>1.04</v>
      </c>
      <c r="AH36" s="1140">
        <v>1</v>
      </c>
      <c r="AI36" s="1122">
        <f t="shared" si="22"/>
        <v>57.695999999999998</v>
      </c>
      <c r="AJ36" s="1144">
        <f t="shared" si="19"/>
        <v>0</v>
      </c>
      <c r="AK36" s="1145">
        <f t="shared" si="20"/>
        <v>60.128847999999998</v>
      </c>
      <c r="AL36" s="1146">
        <f t="shared" si="21"/>
        <v>0</v>
      </c>
    </row>
    <row r="37" spans="1:38" ht="18.75">
      <c r="A37" s="1126"/>
      <c r="B37" s="1127"/>
      <c r="C37" s="1128"/>
      <c r="D37" s="1127"/>
      <c r="E37" s="1127"/>
      <c r="F37" s="1129"/>
      <c r="G37" s="1129"/>
      <c r="H37" s="1129"/>
      <c r="I37" s="1130"/>
      <c r="J37" s="1131"/>
      <c r="K37" s="1132"/>
      <c r="L37" s="1133"/>
      <c r="M37" s="1127" t="s">
        <v>1290</v>
      </c>
      <c r="N37" s="1134"/>
      <c r="O37" s="1094"/>
      <c r="P37" s="1135"/>
      <c r="Q37" s="1136"/>
      <c r="R37" s="1137"/>
      <c r="S37" s="1138"/>
      <c r="T37" s="1139"/>
      <c r="U37" s="1131"/>
      <c r="V37" s="1139"/>
      <c r="W37" s="1140"/>
      <c r="X37" s="1145"/>
      <c r="Y37" s="1184" t="s">
        <v>1294</v>
      </c>
      <c r="Z37" s="1137">
        <v>13</v>
      </c>
      <c r="AA37" s="1137">
        <v>0.15</v>
      </c>
      <c r="AB37" s="1138">
        <f>($G$19)/AA37+1</f>
        <v>2</v>
      </c>
      <c r="AC37" s="1139">
        <v>1.74</v>
      </c>
      <c r="AD37" s="1131">
        <v>2</v>
      </c>
      <c r="AE37" s="1139">
        <f t="shared" ref="AE37:AE38" si="23">6*Z37/1000</f>
        <v>7.8E-2</v>
      </c>
      <c r="AF37" s="1131">
        <v>2</v>
      </c>
      <c r="AG37" s="1143">
        <f t="shared" si="18"/>
        <v>1.04</v>
      </c>
      <c r="AH37" s="1140">
        <v>2</v>
      </c>
      <c r="AI37" s="1122">
        <f>$J$11*((((AC37)+(AE37*AD37)+(AG37*AF37))*AH37)*AB37)</f>
        <v>127.232</v>
      </c>
      <c r="AJ37" s="1144">
        <f t="shared" si="19"/>
        <v>0</v>
      </c>
      <c r="AK37" s="1145">
        <f t="shared" si="20"/>
        <v>132.59694933333333</v>
      </c>
      <c r="AL37" s="1146">
        <f t="shared" si="21"/>
        <v>0</v>
      </c>
    </row>
    <row r="38" spans="1:38" ht="18.75">
      <c r="A38" s="1126"/>
      <c r="B38" s="1127"/>
      <c r="C38" s="1128"/>
      <c r="D38" s="1127"/>
      <c r="E38" s="1127"/>
      <c r="F38" s="1129"/>
      <c r="G38" s="1129"/>
      <c r="H38" s="1129"/>
      <c r="I38" s="1130"/>
      <c r="J38" s="1131"/>
      <c r="K38" s="1132"/>
      <c r="L38" s="1133"/>
      <c r="M38" s="1127" t="s">
        <v>1292</v>
      </c>
      <c r="N38" s="1134">
        <f>I35*(F35*H35)</f>
        <v>3.5999999999999996</v>
      </c>
      <c r="O38" s="1094"/>
      <c r="P38" s="1135"/>
      <c r="Q38" s="1136"/>
      <c r="R38" s="1137"/>
      <c r="S38" s="1138"/>
      <c r="T38" s="1139"/>
      <c r="U38" s="1131"/>
      <c r="V38" s="1139"/>
      <c r="W38" s="1140"/>
      <c r="X38" s="1122"/>
      <c r="Y38" s="1141" t="s">
        <v>1291</v>
      </c>
      <c r="Z38" s="1142">
        <v>8</v>
      </c>
      <c r="AA38" s="1137">
        <v>0.15</v>
      </c>
      <c r="AB38" s="1138">
        <f>(H35)/AA38+1</f>
        <v>17</v>
      </c>
      <c r="AC38" s="1139">
        <f>(F35+0.3)-0.06</f>
        <v>1.74</v>
      </c>
      <c r="AD38" s="1131">
        <v>2</v>
      </c>
      <c r="AE38" s="1139">
        <f t="shared" si="23"/>
        <v>4.8000000000000001E-2</v>
      </c>
      <c r="AF38" s="1131">
        <v>0</v>
      </c>
      <c r="AG38" s="1143">
        <f t="shared" si="18"/>
        <v>0</v>
      </c>
      <c r="AH38" s="1140">
        <v>2</v>
      </c>
      <c r="AI38" s="1122">
        <f>$J$11*((((AC38)+(AE38*AD38)+(AG38*AF38))*AH38)*AB38)</f>
        <v>499.392</v>
      </c>
      <c r="AJ38" s="1144">
        <f t="shared" si="19"/>
        <v>0</v>
      </c>
      <c r="AK38" s="1145">
        <f t="shared" si="20"/>
        <v>0</v>
      </c>
      <c r="AL38" s="1146">
        <f t="shared" si="21"/>
        <v>0</v>
      </c>
    </row>
    <row r="39" spans="1:38" ht="18.75">
      <c r="A39" s="1126"/>
      <c r="B39" s="1127"/>
      <c r="C39" s="1128"/>
      <c r="D39" s="1127"/>
      <c r="E39" s="1127"/>
      <c r="F39" s="1129"/>
      <c r="G39" s="1129"/>
      <c r="H39" s="1129"/>
      <c r="I39" s="1130"/>
      <c r="J39" s="1131"/>
      <c r="K39" s="1132"/>
      <c r="L39" s="1133"/>
      <c r="M39" s="1127" t="s">
        <v>1293</v>
      </c>
      <c r="N39" s="1134">
        <f>I36*(F36*H36)</f>
        <v>2.3040000000000003</v>
      </c>
      <c r="O39" s="1094"/>
      <c r="P39" s="1135"/>
      <c r="Q39" s="1136"/>
      <c r="R39" s="1137"/>
      <c r="S39" s="1138"/>
      <c r="T39" s="1139"/>
      <c r="U39" s="1131"/>
      <c r="V39" s="1139"/>
      <c r="W39" s="1140"/>
      <c r="X39" s="1122"/>
      <c r="Y39" s="1141"/>
      <c r="Z39" s="1142"/>
      <c r="AA39" s="1137"/>
      <c r="AB39" s="1138"/>
      <c r="AC39" s="1139"/>
      <c r="AD39" s="1131"/>
      <c r="AE39" s="1139"/>
      <c r="AF39" s="1131"/>
      <c r="AG39" s="1139"/>
      <c r="AH39" s="1140"/>
      <c r="AI39" s="1122"/>
      <c r="AJ39" s="1144">
        <f t="shared" si="19"/>
        <v>0</v>
      </c>
      <c r="AK39" s="1145">
        <f t="shared" si="20"/>
        <v>0</v>
      </c>
      <c r="AL39" s="1146">
        <f t="shared" si="21"/>
        <v>0</v>
      </c>
    </row>
    <row r="40" spans="1:38" ht="18.75">
      <c r="A40" s="1126"/>
      <c r="B40" s="1127"/>
      <c r="C40" s="1128"/>
      <c r="D40" s="1127"/>
      <c r="E40" s="1127"/>
      <c r="F40" s="1168"/>
      <c r="G40" s="1168"/>
      <c r="H40" s="1168"/>
      <c r="I40" s="1130"/>
      <c r="J40" s="1169"/>
      <c r="K40" s="1132"/>
      <c r="L40" s="1133"/>
      <c r="M40" s="1127"/>
      <c r="N40" s="1134"/>
      <c r="O40" s="1094"/>
      <c r="P40" s="1135"/>
      <c r="Q40" s="1136"/>
      <c r="R40" s="1137"/>
      <c r="S40" s="1138"/>
      <c r="T40" s="1139"/>
      <c r="U40" s="1131"/>
      <c r="V40" s="1139"/>
      <c r="W40" s="1140"/>
      <c r="X40" s="1122"/>
      <c r="Y40" s="1141"/>
      <c r="Z40" s="1142"/>
      <c r="AA40" s="1137"/>
      <c r="AB40" s="1138"/>
      <c r="AC40" s="1139"/>
      <c r="AD40" s="1131"/>
      <c r="AE40" s="1139"/>
      <c r="AF40" s="1131"/>
      <c r="AG40" s="1139"/>
      <c r="AH40" s="1140"/>
      <c r="AI40" s="1122"/>
      <c r="AJ40" s="1144"/>
      <c r="AK40" s="1145"/>
      <c r="AL40" s="1146"/>
    </row>
    <row r="41" spans="1:38" ht="18.75">
      <c r="A41" s="1136"/>
      <c r="B41" s="1166"/>
      <c r="C41" s="1128"/>
      <c r="D41" s="1127">
        <v>2</v>
      </c>
      <c r="E41" s="1127" t="s">
        <v>1279</v>
      </c>
      <c r="F41" s="1129">
        <v>0.3</v>
      </c>
      <c r="G41" s="1129">
        <v>0.16</v>
      </c>
      <c r="H41" s="1129">
        <v>1.5</v>
      </c>
      <c r="I41" s="1181">
        <v>1</v>
      </c>
      <c r="J41" s="1131">
        <v>9</v>
      </c>
      <c r="K41" s="1132"/>
      <c r="L41" s="1133">
        <f>I41*(((F41*G41*H41)/2)*J41)</f>
        <v>0.32400000000000007</v>
      </c>
      <c r="M41" s="1127" t="s">
        <v>1280</v>
      </c>
      <c r="N41" s="1134">
        <f>I41*(G41*H41*J41)</f>
        <v>2.16</v>
      </c>
      <c r="O41" s="1094"/>
      <c r="P41" s="1182" t="s">
        <v>1281</v>
      </c>
      <c r="Q41" s="1136">
        <v>8</v>
      </c>
      <c r="R41" s="1137"/>
      <c r="S41" s="1138">
        <v>1</v>
      </c>
      <c r="T41" s="1139">
        <f>(H41+0.4)-0.06</f>
        <v>1.8399999999999999</v>
      </c>
      <c r="U41" s="1131">
        <v>2</v>
      </c>
      <c r="V41" s="1139">
        <f>6*Q41/1000</f>
        <v>4.8000000000000001E-2</v>
      </c>
      <c r="W41" s="1140">
        <v>9</v>
      </c>
      <c r="X41" s="1122">
        <f>I41*((((T41)+(V41*U41)*S41)*W41))</f>
        <v>17.423999999999999</v>
      </c>
      <c r="Y41" s="1183" t="s">
        <v>1282</v>
      </c>
      <c r="Z41" s="1142">
        <v>13</v>
      </c>
      <c r="AA41" s="1137">
        <v>0.15</v>
      </c>
      <c r="AB41" s="1138">
        <f>($G$19)/AA41+1</f>
        <v>2</v>
      </c>
      <c r="AC41" s="1139">
        <f>1.5+3.06</f>
        <v>4.5600000000000005</v>
      </c>
      <c r="AD41" s="1131">
        <v>2</v>
      </c>
      <c r="AE41" s="1139">
        <f>6*Z41/1000</f>
        <v>7.8E-2</v>
      </c>
      <c r="AF41" s="1131">
        <v>2</v>
      </c>
      <c r="AG41" s="1143">
        <f t="shared" ref="AG41:AG45" si="24">(40*Z41/1000)*AF41</f>
        <v>1.04</v>
      </c>
      <c r="AH41" s="1140">
        <v>1</v>
      </c>
      <c r="AI41" s="1122">
        <f>$J$11*((((AC41)+(AE41*AD41)+(AG41*AF41))*AH41)*AB41)</f>
        <v>108.736</v>
      </c>
      <c r="AJ41" s="1144">
        <f t="shared" ref="AJ41:AJ46" si="25">((IF(Q41=$AK$7,X41,0)+(IF(Z41=$AK$7,AI41,0))))*$AK$9</f>
        <v>0</v>
      </c>
      <c r="AK41" s="1145">
        <f t="shared" ref="AK41:AK46" si="26">((IF(Q41=$AL$7,X41,0)+(IF(Z41=$AL$7,AI41,0))))*$AL$9</f>
        <v>113.32103466666668</v>
      </c>
      <c r="AL41" s="1146">
        <f t="shared" ref="AL41:AL46" si="27">((IF(Q41=$AM$7,X41,0)+(IF(Z41=$AM$7,AI41,0))))*$AM$9</f>
        <v>0</v>
      </c>
    </row>
    <row r="42" spans="1:38" ht="18.75">
      <c r="A42" s="1126"/>
      <c r="B42" s="1127"/>
      <c r="C42" s="1128"/>
      <c r="D42" s="1127"/>
      <c r="E42" s="1127" t="s">
        <v>1283</v>
      </c>
      <c r="F42" s="1129">
        <v>1.5</v>
      </c>
      <c r="G42" s="1129">
        <v>0.15</v>
      </c>
      <c r="H42" s="1129">
        <f>0.34*9</f>
        <v>3.06</v>
      </c>
      <c r="I42" s="1130">
        <v>1</v>
      </c>
      <c r="J42" s="1131"/>
      <c r="K42" s="1132"/>
      <c r="L42" s="1133">
        <f>I42*(F42*G42*H42)</f>
        <v>0.68849999999999989</v>
      </c>
      <c r="M42" s="1127" t="s">
        <v>1284</v>
      </c>
      <c r="N42" s="1134"/>
      <c r="O42" s="1094"/>
      <c r="P42" s="1135" t="s">
        <v>1285</v>
      </c>
      <c r="Q42" s="1136">
        <v>8</v>
      </c>
      <c r="R42" s="1137">
        <v>0.2</v>
      </c>
      <c r="S42" s="1138">
        <f>(H41/R42+1)</f>
        <v>8.5</v>
      </c>
      <c r="T42" s="1139">
        <f>(F41+G41+0.3)-(0.03*2)</f>
        <v>0.7</v>
      </c>
      <c r="U42" s="1131">
        <v>2</v>
      </c>
      <c r="V42" s="1139">
        <f>6*Q42/1000</f>
        <v>4.8000000000000001E-2</v>
      </c>
      <c r="W42" s="1140">
        <v>9</v>
      </c>
      <c r="X42" s="1122">
        <f>I41*(((((T42)+(V42*U42))*S42)*W42))</f>
        <v>60.893999999999991</v>
      </c>
      <c r="Y42" s="1141" t="s">
        <v>1286</v>
      </c>
      <c r="Z42" s="1142">
        <v>13</v>
      </c>
      <c r="AA42" s="1137">
        <v>0.15</v>
      </c>
      <c r="AB42" s="1138">
        <f>($G$19)/AA42+1</f>
        <v>2</v>
      </c>
      <c r="AC42" s="1139">
        <f>1.5+3.06</f>
        <v>4.5600000000000005</v>
      </c>
      <c r="AD42" s="1131">
        <v>2</v>
      </c>
      <c r="AE42" s="1139">
        <f>6*Z42/1000</f>
        <v>7.8E-2</v>
      </c>
      <c r="AF42" s="1131">
        <v>2</v>
      </c>
      <c r="AG42" s="1143">
        <f t="shared" si="24"/>
        <v>1.04</v>
      </c>
      <c r="AH42" s="1140">
        <v>1</v>
      </c>
      <c r="AI42" s="1122">
        <f t="shared" ref="AI42:AI43" si="28">$J$11*((((AC42)+(AE42*AD42)+(AG42*AF42))*AH42)*AB42)</f>
        <v>108.736</v>
      </c>
      <c r="AJ42" s="1144">
        <f t="shared" si="25"/>
        <v>0</v>
      </c>
      <c r="AK42" s="1145">
        <f t="shared" si="26"/>
        <v>113.32103466666668</v>
      </c>
      <c r="AL42" s="1146">
        <f t="shared" si="27"/>
        <v>0</v>
      </c>
    </row>
    <row r="43" spans="1:38" ht="18.75">
      <c r="A43" s="1126"/>
      <c r="B43" s="1127"/>
      <c r="C43" s="1128"/>
      <c r="D43" s="1127"/>
      <c r="E43" s="1127" t="s">
        <v>1287</v>
      </c>
      <c r="F43" s="1129">
        <v>1.5</v>
      </c>
      <c r="G43" s="1129">
        <v>0.15</v>
      </c>
      <c r="H43" s="1129">
        <v>1.91</v>
      </c>
      <c r="I43" s="1130">
        <v>1</v>
      </c>
      <c r="J43" s="1131"/>
      <c r="K43" s="1132"/>
      <c r="L43" s="1133">
        <f>I43*(F43*G43*H43)</f>
        <v>0.42974999999999997</v>
      </c>
      <c r="M43" s="1127" t="s">
        <v>1288</v>
      </c>
      <c r="N43" s="1134"/>
      <c r="O43" s="1094"/>
      <c r="P43" s="1135"/>
      <c r="Q43" s="1136"/>
      <c r="R43" s="1137"/>
      <c r="S43" s="1138"/>
      <c r="T43" s="1139"/>
      <c r="U43" s="1131"/>
      <c r="V43" s="1139"/>
      <c r="W43" s="1140"/>
      <c r="X43" s="1122"/>
      <c r="Y43" s="1141" t="s">
        <v>1289</v>
      </c>
      <c r="Z43" s="1142">
        <v>13</v>
      </c>
      <c r="AA43" s="1137">
        <v>0.15</v>
      </c>
      <c r="AB43" s="1138">
        <f>($G$19)/AA43+1</f>
        <v>2</v>
      </c>
      <c r="AC43" s="1139">
        <v>1.5</v>
      </c>
      <c r="AD43" s="1131">
        <v>2</v>
      </c>
      <c r="AE43" s="1139">
        <f>6*Z43/1000</f>
        <v>7.8E-2</v>
      </c>
      <c r="AF43" s="1131">
        <v>2</v>
      </c>
      <c r="AG43" s="1143">
        <f t="shared" si="24"/>
        <v>1.04</v>
      </c>
      <c r="AH43" s="1140">
        <v>1</v>
      </c>
      <c r="AI43" s="1122">
        <f t="shared" si="28"/>
        <v>59.775999999999996</v>
      </c>
      <c r="AJ43" s="1144">
        <f t="shared" si="25"/>
        <v>0</v>
      </c>
      <c r="AK43" s="1145">
        <f t="shared" si="26"/>
        <v>62.296554666666665</v>
      </c>
      <c r="AL43" s="1146">
        <f t="shared" si="27"/>
        <v>0</v>
      </c>
    </row>
    <row r="44" spans="1:38" ht="18.75">
      <c r="A44" s="1126"/>
      <c r="B44" s="1127"/>
      <c r="C44" s="1128"/>
      <c r="D44" s="1127"/>
      <c r="E44" s="1127"/>
      <c r="F44" s="1129"/>
      <c r="G44" s="1129"/>
      <c r="H44" s="1129"/>
      <c r="I44" s="1130"/>
      <c r="J44" s="1131"/>
      <c r="K44" s="1132"/>
      <c r="L44" s="1133"/>
      <c r="M44" s="1127" t="s">
        <v>1290</v>
      </c>
      <c r="N44" s="1134"/>
      <c r="O44" s="1094"/>
      <c r="P44" s="1135"/>
      <c r="Q44" s="1136"/>
      <c r="R44" s="1137"/>
      <c r="S44" s="1138"/>
      <c r="T44" s="1139"/>
      <c r="U44" s="1131"/>
      <c r="V44" s="1139"/>
      <c r="W44" s="1140"/>
      <c r="X44" s="1145"/>
      <c r="Y44" s="1184" t="s">
        <v>1294</v>
      </c>
      <c r="Z44" s="1137">
        <v>13</v>
      </c>
      <c r="AA44" s="1137">
        <v>0.15</v>
      </c>
      <c r="AB44" s="1138">
        <f>($G$19)/AA44+1</f>
        <v>2</v>
      </c>
      <c r="AC44" s="1139">
        <v>1.5</v>
      </c>
      <c r="AD44" s="1131">
        <v>2</v>
      </c>
      <c r="AE44" s="1139">
        <f t="shared" ref="AE44:AE45" si="29">6*Z44/1000</f>
        <v>7.8E-2</v>
      </c>
      <c r="AF44" s="1131">
        <v>2</v>
      </c>
      <c r="AG44" s="1143">
        <f t="shared" si="24"/>
        <v>1.04</v>
      </c>
      <c r="AH44" s="1140">
        <v>2</v>
      </c>
      <c r="AI44" s="1122">
        <f>$J$11*((((AC44)+(AE44*AD44)+(AG44*AF44))*AH44)*AB44)</f>
        <v>119.55199999999999</v>
      </c>
      <c r="AJ44" s="1144">
        <f t="shared" si="25"/>
        <v>0</v>
      </c>
      <c r="AK44" s="1145">
        <f t="shared" si="26"/>
        <v>124.59310933333333</v>
      </c>
      <c r="AL44" s="1146">
        <f t="shared" si="27"/>
        <v>0</v>
      </c>
    </row>
    <row r="45" spans="1:38" ht="18.75">
      <c r="A45" s="1126"/>
      <c r="B45" s="1127"/>
      <c r="C45" s="1128"/>
      <c r="D45" s="1127"/>
      <c r="E45" s="1127"/>
      <c r="F45" s="1129"/>
      <c r="G45" s="1129"/>
      <c r="H45" s="1129"/>
      <c r="I45" s="1130"/>
      <c r="J45" s="1131"/>
      <c r="K45" s="1132"/>
      <c r="L45" s="1133"/>
      <c r="M45" s="1127" t="s">
        <v>1292</v>
      </c>
      <c r="N45" s="1134">
        <f>I42*(F42*H42)</f>
        <v>4.59</v>
      </c>
      <c r="O45" s="1094"/>
      <c r="P45" s="1135"/>
      <c r="Q45" s="1136"/>
      <c r="R45" s="1137"/>
      <c r="S45" s="1138"/>
      <c r="T45" s="1139"/>
      <c r="U45" s="1131"/>
      <c r="V45" s="1139"/>
      <c r="W45" s="1140"/>
      <c r="X45" s="1122"/>
      <c r="Y45" s="1141" t="s">
        <v>1291</v>
      </c>
      <c r="Z45" s="1142">
        <v>8</v>
      </c>
      <c r="AA45" s="1137">
        <v>0.15</v>
      </c>
      <c r="AB45" s="1138">
        <f>(H42)/AA45+1</f>
        <v>21.400000000000002</v>
      </c>
      <c r="AC45" s="1139">
        <f>(F42+0.3)-0.06</f>
        <v>1.74</v>
      </c>
      <c r="AD45" s="1131">
        <v>2</v>
      </c>
      <c r="AE45" s="1139">
        <f t="shared" si="29"/>
        <v>4.8000000000000001E-2</v>
      </c>
      <c r="AF45" s="1131">
        <v>0</v>
      </c>
      <c r="AG45" s="1143">
        <f t="shared" si="24"/>
        <v>0</v>
      </c>
      <c r="AH45" s="1140">
        <v>2</v>
      </c>
      <c r="AI45" s="1122">
        <f>$J$11*((((AC45)+(AE45*AD45)+(AG45*AF45))*AH45)*AB45)</f>
        <v>628.64640000000009</v>
      </c>
      <c r="AJ45" s="1144">
        <f t="shared" si="25"/>
        <v>0</v>
      </c>
      <c r="AK45" s="1145">
        <f t="shared" si="26"/>
        <v>0</v>
      </c>
      <c r="AL45" s="1146">
        <f t="shared" si="27"/>
        <v>0</v>
      </c>
    </row>
    <row r="46" spans="1:38" ht="18.75">
      <c r="A46" s="1126"/>
      <c r="B46" s="1127"/>
      <c r="C46" s="1128"/>
      <c r="D46" s="1127"/>
      <c r="E46" s="1127"/>
      <c r="F46" s="1129"/>
      <c r="G46" s="1129"/>
      <c r="H46" s="1129"/>
      <c r="I46" s="1130"/>
      <c r="J46" s="1131"/>
      <c r="K46" s="1132"/>
      <c r="L46" s="1133"/>
      <c r="M46" s="1127" t="s">
        <v>1293</v>
      </c>
      <c r="N46" s="1134">
        <f>I43*(F43*H43)</f>
        <v>2.8649999999999998</v>
      </c>
      <c r="O46" s="1094"/>
      <c r="P46" s="1135"/>
      <c r="Q46" s="1136"/>
      <c r="R46" s="1137"/>
      <c r="S46" s="1138"/>
      <c r="T46" s="1139"/>
      <c r="U46" s="1131"/>
      <c r="V46" s="1139"/>
      <c r="W46" s="1140"/>
      <c r="X46" s="1122"/>
      <c r="Y46" s="1141"/>
      <c r="Z46" s="1142"/>
      <c r="AA46" s="1137"/>
      <c r="AB46" s="1138"/>
      <c r="AC46" s="1139"/>
      <c r="AD46" s="1131"/>
      <c r="AE46" s="1139"/>
      <c r="AF46" s="1131"/>
      <c r="AG46" s="1139"/>
      <c r="AH46" s="1140"/>
      <c r="AI46" s="1122"/>
      <c r="AJ46" s="1144">
        <f t="shared" si="25"/>
        <v>0</v>
      </c>
      <c r="AK46" s="1145">
        <f t="shared" si="26"/>
        <v>0</v>
      </c>
      <c r="AL46" s="1146">
        <f t="shared" si="27"/>
        <v>0</v>
      </c>
    </row>
    <row r="47" spans="1:38" ht="18.75">
      <c r="A47" s="1126"/>
      <c r="B47" s="1127"/>
      <c r="C47" s="1128"/>
      <c r="D47" s="1127"/>
      <c r="E47" s="1127"/>
      <c r="F47" s="1168"/>
      <c r="G47" s="1168"/>
      <c r="H47" s="1168"/>
      <c r="I47" s="1130"/>
      <c r="J47" s="1169"/>
      <c r="K47" s="1132"/>
      <c r="L47" s="1133"/>
      <c r="M47" s="1127"/>
      <c r="N47" s="1134"/>
      <c r="O47" s="1094"/>
      <c r="P47" s="1135"/>
      <c r="Q47" s="1136"/>
      <c r="R47" s="1137"/>
      <c r="S47" s="1138"/>
      <c r="T47" s="1139"/>
      <c r="U47" s="1131"/>
      <c r="V47" s="1139"/>
      <c r="W47" s="1140"/>
      <c r="X47" s="1122"/>
      <c r="Y47" s="1141"/>
      <c r="Z47" s="1142"/>
      <c r="AA47" s="1137"/>
      <c r="AB47" s="1138"/>
      <c r="AC47" s="1139"/>
      <c r="AD47" s="1131"/>
      <c r="AE47" s="1139"/>
      <c r="AF47" s="1131"/>
      <c r="AG47" s="1139"/>
      <c r="AH47" s="1140"/>
      <c r="AI47" s="1122"/>
      <c r="AJ47" s="1144"/>
      <c r="AK47" s="1145"/>
      <c r="AL47" s="1146"/>
    </row>
    <row r="48" spans="1:38" ht="18.75">
      <c r="A48" s="1136"/>
      <c r="B48" s="1166"/>
      <c r="C48" s="1128"/>
      <c r="D48" s="1127">
        <v>3</v>
      </c>
      <c r="E48" s="1127" t="s">
        <v>1279</v>
      </c>
      <c r="F48" s="1129">
        <v>0.3</v>
      </c>
      <c r="G48" s="1129">
        <v>0.16</v>
      </c>
      <c r="H48" s="1129">
        <v>1.5</v>
      </c>
      <c r="I48" s="1181">
        <v>1</v>
      </c>
      <c r="J48" s="1131">
        <v>8</v>
      </c>
      <c r="K48" s="1132"/>
      <c r="L48" s="1133">
        <f>I48*(((F48*G48*H48)/2)*J48)</f>
        <v>0.28800000000000003</v>
      </c>
      <c r="M48" s="1127" t="s">
        <v>1280</v>
      </c>
      <c r="N48" s="1134">
        <f>I48*(G48*H48*J48)</f>
        <v>1.92</v>
      </c>
      <c r="O48" s="1094"/>
      <c r="P48" s="1182" t="s">
        <v>1281</v>
      </c>
      <c r="Q48" s="1136">
        <v>8</v>
      </c>
      <c r="R48" s="1137"/>
      <c r="S48" s="1138">
        <v>1</v>
      </c>
      <c r="T48" s="1139">
        <f>(H48+0.4)-0.06</f>
        <v>1.8399999999999999</v>
      </c>
      <c r="U48" s="1131">
        <v>2</v>
      </c>
      <c r="V48" s="1139">
        <f>6*Q48/1000</f>
        <v>4.8000000000000001E-2</v>
      </c>
      <c r="W48" s="1140">
        <v>8</v>
      </c>
      <c r="X48" s="1122">
        <f>I48*((((T48)+(V48*U48)*S48)*W48))</f>
        <v>15.488</v>
      </c>
      <c r="Y48" s="1183" t="s">
        <v>1282</v>
      </c>
      <c r="Z48" s="1142">
        <v>13</v>
      </c>
      <c r="AA48" s="1137">
        <v>0.15</v>
      </c>
      <c r="AB48" s="1138">
        <f>($G$19)/AA48+1</f>
        <v>2</v>
      </c>
      <c r="AC48" s="1139">
        <v>4.83</v>
      </c>
      <c r="AD48" s="1131">
        <v>2</v>
      </c>
      <c r="AE48" s="1139">
        <f>6*Z48/1000</f>
        <v>7.8E-2</v>
      </c>
      <c r="AF48" s="1131">
        <v>2</v>
      </c>
      <c r="AG48" s="1143">
        <f t="shared" ref="AG48:AG52" si="30">(40*Z48/1000)*AF48</f>
        <v>1.04</v>
      </c>
      <c r="AH48" s="1140">
        <v>1</v>
      </c>
      <c r="AI48" s="1122">
        <f>$J$11*((((AC48)+(AE48*AD48)+(AG48*AF48))*AH48)*AB48)</f>
        <v>113.056</v>
      </c>
      <c r="AJ48" s="1144">
        <f t="shared" ref="AJ48:AJ53" si="31">((IF(Q48=$AK$7,X48,0)+(IF(Z48=$AK$7,AI48,0))))*$AK$9</f>
        <v>0</v>
      </c>
      <c r="AK48" s="1145">
        <f t="shared" ref="AK48:AK53" si="32">((IF(Q48=$AL$7,X48,0)+(IF(Z48=$AL$7,AI48,0))))*$AL$9</f>
        <v>117.82319466666667</v>
      </c>
      <c r="AL48" s="1146">
        <f t="shared" ref="AL48:AL53" si="33">((IF(Q48=$AM$7,X48,0)+(IF(Z48=$AM$7,AI48,0))))*$AM$9</f>
        <v>0</v>
      </c>
    </row>
    <row r="49" spans="1:38" ht="18.75">
      <c r="A49" s="1126"/>
      <c r="B49" s="1127"/>
      <c r="C49" s="1128"/>
      <c r="D49" s="1127"/>
      <c r="E49" s="1127" t="s">
        <v>1283</v>
      </c>
      <c r="F49" s="1129">
        <v>1.5</v>
      </c>
      <c r="G49" s="1129">
        <v>0.15</v>
      </c>
      <c r="H49" s="1129">
        <v>2.72</v>
      </c>
      <c r="I49" s="1130">
        <v>1</v>
      </c>
      <c r="J49" s="1131"/>
      <c r="K49" s="1132"/>
      <c r="L49" s="1133">
        <f>I49*(F49*G49*H49)</f>
        <v>0.61199999999999999</v>
      </c>
      <c r="M49" s="1127" t="s">
        <v>1284</v>
      </c>
      <c r="N49" s="1134"/>
      <c r="O49" s="1094"/>
      <c r="P49" s="1135" t="s">
        <v>1285</v>
      </c>
      <c r="Q49" s="1136">
        <v>8</v>
      </c>
      <c r="R49" s="1137">
        <v>0.2</v>
      </c>
      <c r="S49" s="1138">
        <f>(H48/R49+1)</f>
        <v>8.5</v>
      </c>
      <c r="T49" s="1139">
        <f>(F48+G48+0.3)-(0.03*2)</f>
        <v>0.7</v>
      </c>
      <c r="U49" s="1131">
        <v>2</v>
      </c>
      <c r="V49" s="1139">
        <f>6*Q49/1000</f>
        <v>4.8000000000000001E-2</v>
      </c>
      <c r="W49" s="1140">
        <v>8</v>
      </c>
      <c r="X49" s="1122">
        <f>I48*(((((T49)+(V49*U49))*S49)*W49))</f>
        <v>54.127999999999993</v>
      </c>
      <c r="Y49" s="1141" t="s">
        <v>1286</v>
      </c>
      <c r="Z49" s="1142">
        <v>13</v>
      </c>
      <c r="AA49" s="1137">
        <v>0.15</v>
      </c>
      <c r="AB49" s="1138">
        <f>($G$19)/AA49+1</f>
        <v>2</v>
      </c>
      <c r="AC49" s="1139">
        <f>0.71+2.72</f>
        <v>3.43</v>
      </c>
      <c r="AD49" s="1131">
        <v>2</v>
      </c>
      <c r="AE49" s="1139">
        <f>6*Z49/1000</f>
        <v>7.8E-2</v>
      </c>
      <c r="AF49" s="1131">
        <v>2</v>
      </c>
      <c r="AG49" s="1143">
        <f t="shared" si="30"/>
        <v>1.04</v>
      </c>
      <c r="AH49" s="1140">
        <v>1</v>
      </c>
      <c r="AI49" s="1122">
        <f t="shared" ref="AI49:AI50" si="34">$J$11*((((AC49)+(AE49*AD49)+(AG49*AF49))*AH49)*AB49)</f>
        <v>90.656000000000006</v>
      </c>
      <c r="AJ49" s="1144">
        <f t="shared" si="31"/>
        <v>0</v>
      </c>
      <c r="AK49" s="1145">
        <f t="shared" si="32"/>
        <v>94.478661333333335</v>
      </c>
      <c r="AL49" s="1146">
        <f t="shared" si="33"/>
        <v>0</v>
      </c>
    </row>
    <row r="50" spans="1:38" ht="18.75">
      <c r="A50" s="1126"/>
      <c r="B50" s="1127"/>
      <c r="C50" s="1128"/>
      <c r="D50" s="1127"/>
      <c r="E50" s="1127"/>
      <c r="F50" s="1129"/>
      <c r="G50" s="1129"/>
      <c r="H50" s="1129"/>
      <c r="I50" s="1130"/>
      <c r="J50" s="1131"/>
      <c r="K50" s="1132"/>
      <c r="L50" s="1133">
        <f>I50*(F50*G50*H50)</f>
        <v>0</v>
      </c>
      <c r="M50" s="1127" t="s">
        <v>1288</v>
      </c>
      <c r="N50" s="1134"/>
      <c r="O50" s="1094"/>
      <c r="P50" s="1135"/>
      <c r="Q50" s="1136"/>
      <c r="R50" s="1137"/>
      <c r="S50" s="1138"/>
      <c r="T50" s="1139"/>
      <c r="U50" s="1131"/>
      <c r="V50" s="1139"/>
      <c r="W50" s="1140"/>
      <c r="X50" s="1122"/>
      <c r="Y50" s="1141" t="s">
        <v>1289</v>
      </c>
      <c r="Z50" s="1142">
        <v>13</v>
      </c>
      <c r="AA50" s="1137">
        <v>0.15</v>
      </c>
      <c r="AB50" s="1138">
        <f>($G$19)/AA50+1</f>
        <v>2</v>
      </c>
      <c r="AC50" s="1139">
        <v>2.11</v>
      </c>
      <c r="AD50" s="1131">
        <v>2</v>
      </c>
      <c r="AE50" s="1139">
        <f>6*Z50/1000</f>
        <v>7.8E-2</v>
      </c>
      <c r="AF50" s="1131">
        <v>2</v>
      </c>
      <c r="AG50" s="1143">
        <f t="shared" si="30"/>
        <v>1.04</v>
      </c>
      <c r="AH50" s="1140">
        <v>1</v>
      </c>
      <c r="AI50" s="1122">
        <f t="shared" si="34"/>
        <v>69.536000000000001</v>
      </c>
      <c r="AJ50" s="1144">
        <f t="shared" si="31"/>
        <v>0</v>
      </c>
      <c r="AK50" s="1145">
        <f t="shared" si="32"/>
        <v>72.468101333333337</v>
      </c>
      <c r="AL50" s="1146">
        <f t="shared" si="33"/>
        <v>0</v>
      </c>
    </row>
    <row r="51" spans="1:38" ht="18.75">
      <c r="A51" s="1126"/>
      <c r="B51" s="1127"/>
      <c r="C51" s="1128"/>
      <c r="D51" s="1127"/>
      <c r="E51" s="1127"/>
      <c r="F51" s="1129"/>
      <c r="G51" s="1129"/>
      <c r="H51" s="1129"/>
      <c r="I51" s="1130"/>
      <c r="J51" s="1131"/>
      <c r="K51" s="1132"/>
      <c r="L51" s="1133"/>
      <c r="M51" s="1127" t="s">
        <v>1290</v>
      </c>
      <c r="N51" s="1134"/>
      <c r="O51" s="1094"/>
      <c r="P51" s="1135"/>
      <c r="Q51" s="1136"/>
      <c r="R51" s="1137"/>
      <c r="S51" s="1138"/>
      <c r="T51" s="1139"/>
      <c r="U51" s="1131"/>
      <c r="V51" s="1139"/>
      <c r="W51" s="1140"/>
      <c r="X51" s="1145"/>
      <c r="Y51" s="1184" t="s">
        <v>1294</v>
      </c>
      <c r="Z51" s="1137">
        <v>13</v>
      </c>
      <c r="AA51" s="1137">
        <v>0.15</v>
      </c>
      <c r="AB51" s="1138">
        <f>($G$19)/AA51+1</f>
        <v>2</v>
      </c>
      <c r="AC51" s="1139">
        <v>0.71</v>
      </c>
      <c r="AD51" s="1131">
        <v>2</v>
      </c>
      <c r="AE51" s="1139">
        <f t="shared" ref="AE51:AE52" si="35">6*Z51/1000</f>
        <v>7.8E-2</v>
      </c>
      <c r="AF51" s="1131">
        <v>2</v>
      </c>
      <c r="AG51" s="1143">
        <f t="shared" si="30"/>
        <v>1.04</v>
      </c>
      <c r="AH51" s="1140">
        <v>2</v>
      </c>
      <c r="AI51" s="1122">
        <f>$J$11*((((AC51)+(AE51*AD51)+(AG51*AF51))*AH51)*AB51)</f>
        <v>94.272000000000006</v>
      </c>
      <c r="AJ51" s="1144">
        <f t="shared" si="31"/>
        <v>0</v>
      </c>
      <c r="AK51" s="1145">
        <f t="shared" si="32"/>
        <v>98.247136000000012</v>
      </c>
      <c r="AL51" s="1146">
        <f t="shared" si="33"/>
        <v>0</v>
      </c>
    </row>
    <row r="52" spans="1:38" ht="18.75">
      <c r="A52" s="1126"/>
      <c r="B52" s="1127"/>
      <c r="C52" s="1128"/>
      <c r="D52" s="1127"/>
      <c r="E52" s="1127"/>
      <c r="F52" s="1129"/>
      <c r="G52" s="1129"/>
      <c r="H52" s="1129"/>
      <c r="I52" s="1130"/>
      <c r="J52" s="1131"/>
      <c r="K52" s="1132"/>
      <c r="L52" s="1133"/>
      <c r="M52" s="1127" t="s">
        <v>1292</v>
      </c>
      <c r="N52" s="1134">
        <f>I49*(F49*H49)</f>
        <v>4.08</v>
      </c>
      <c r="O52" s="1094"/>
      <c r="P52" s="1135"/>
      <c r="Q52" s="1136"/>
      <c r="R52" s="1137"/>
      <c r="S52" s="1138"/>
      <c r="T52" s="1139"/>
      <c r="U52" s="1131"/>
      <c r="V52" s="1139"/>
      <c r="W52" s="1140"/>
      <c r="X52" s="1122"/>
      <c r="Y52" s="1141" t="s">
        <v>1291</v>
      </c>
      <c r="Z52" s="1142">
        <v>8</v>
      </c>
      <c r="AA52" s="1137">
        <v>0.15</v>
      </c>
      <c r="AB52" s="1138">
        <f>(H49)/AA52+1</f>
        <v>19.133333333333336</v>
      </c>
      <c r="AC52" s="1139">
        <f>(F49+0.3)-0.06</f>
        <v>1.74</v>
      </c>
      <c r="AD52" s="1131">
        <v>2</v>
      </c>
      <c r="AE52" s="1139">
        <f t="shared" si="35"/>
        <v>4.8000000000000001E-2</v>
      </c>
      <c r="AF52" s="1131">
        <v>0</v>
      </c>
      <c r="AG52" s="1143">
        <f t="shared" si="30"/>
        <v>0</v>
      </c>
      <c r="AH52" s="1140">
        <v>2</v>
      </c>
      <c r="AI52" s="1122">
        <f>$J$11*((((AC52)+(AE52*AD52)+(AG52*AF52))*AH52)*AB52)</f>
        <v>562.06080000000009</v>
      </c>
      <c r="AJ52" s="1144">
        <f t="shared" si="31"/>
        <v>0</v>
      </c>
      <c r="AK52" s="1145">
        <f t="shared" si="32"/>
        <v>0</v>
      </c>
      <c r="AL52" s="1146">
        <f t="shared" si="33"/>
        <v>0</v>
      </c>
    </row>
    <row r="53" spans="1:38" ht="19.5" thickBot="1">
      <c r="A53" s="1126"/>
      <c r="B53" s="1127"/>
      <c r="C53" s="1128"/>
      <c r="D53" s="1127"/>
      <c r="E53" s="1127"/>
      <c r="F53" s="1129"/>
      <c r="G53" s="1129"/>
      <c r="H53" s="1129"/>
      <c r="I53" s="1130"/>
      <c r="J53" s="1131"/>
      <c r="K53" s="1132"/>
      <c r="L53" s="1133"/>
      <c r="M53" s="1127"/>
      <c r="N53" s="1134"/>
      <c r="O53" s="1094"/>
      <c r="P53" s="1135"/>
      <c r="Q53" s="1136"/>
      <c r="R53" s="1137"/>
      <c r="S53" s="1138"/>
      <c r="T53" s="1139"/>
      <c r="U53" s="1131"/>
      <c r="V53" s="1139"/>
      <c r="W53" s="1140"/>
      <c r="X53" s="1122"/>
      <c r="Y53" s="1141"/>
      <c r="Z53" s="1142"/>
      <c r="AA53" s="1137"/>
      <c r="AB53" s="1138"/>
      <c r="AC53" s="1139"/>
      <c r="AD53" s="1131"/>
      <c r="AE53" s="1139"/>
      <c r="AF53" s="1131"/>
      <c r="AG53" s="1139"/>
      <c r="AH53" s="1140"/>
      <c r="AI53" s="1122"/>
      <c r="AJ53" s="1144">
        <f t="shared" si="31"/>
        <v>0</v>
      </c>
      <c r="AK53" s="1145">
        <f t="shared" si="32"/>
        <v>0</v>
      </c>
      <c r="AL53" s="1146">
        <f t="shared" si="33"/>
        <v>0</v>
      </c>
    </row>
    <row r="54" spans="1:38" ht="20.25" thickTop="1" thickBot="1">
      <c r="A54" s="1188"/>
      <c r="B54" s="1189"/>
      <c r="C54" s="1190"/>
      <c r="D54" s="1189"/>
      <c r="E54" s="1191" t="s">
        <v>468</v>
      </c>
      <c r="F54" s="1192"/>
      <c r="G54" s="1192"/>
      <c r="H54" s="1192"/>
      <c r="I54" s="1192"/>
      <c r="J54" s="1192"/>
      <c r="K54" s="1193"/>
      <c r="L54" s="1194">
        <f>SUM(L33:L53)</f>
        <v>3.5158499999999995</v>
      </c>
      <c r="M54" s="1189"/>
      <c r="N54" s="1194">
        <f>SUM(N33:N53)</f>
        <v>23.439</v>
      </c>
      <c r="O54" s="1195"/>
      <c r="P54" s="1196"/>
      <c r="Q54" s="1188"/>
      <c r="R54" s="1197"/>
      <c r="S54" s="1198"/>
      <c r="T54" s="1199"/>
      <c r="U54" s="1200"/>
      <c r="V54" s="1199"/>
      <c r="W54" s="1201"/>
      <c r="X54" s="1202"/>
      <c r="Y54" s="1203"/>
      <c r="Z54" s="1204"/>
      <c r="AA54" s="1197"/>
      <c r="AB54" s="1198"/>
      <c r="AC54" s="1199"/>
      <c r="AD54" s="1200"/>
      <c r="AE54" s="1199"/>
      <c r="AF54" s="1200"/>
      <c r="AG54" s="1199"/>
      <c r="AH54" s="1201"/>
      <c r="AI54" s="1202"/>
      <c r="AJ54" s="1205">
        <f>SUM(AJ33:AJ53)</f>
        <v>0</v>
      </c>
      <c r="AK54" s="1205">
        <f t="shared" ref="AK54:AL54" si="36">SUM(AK33:AK53)</f>
        <v>1195.4068533333334</v>
      </c>
      <c r="AL54" s="1206">
        <f t="shared" si="36"/>
        <v>0</v>
      </c>
    </row>
    <row r="55" spans="1:38" ht="19.5" thickTop="1">
      <c r="A55" s="1136"/>
      <c r="B55" s="1148"/>
      <c r="C55" s="1128"/>
      <c r="D55" s="1127"/>
      <c r="E55" s="1127"/>
      <c r="F55" s="1129"/>
      <c r="G55" s="1129"/>
      <c r="H55" s="1129"/>
      <c r="I55" s="1181"/>
      <c r="J55" s="1131"/>
      <c r="K55" s="1132"/>
      <c r="L55" s="1133"/>
      <c r="M55" s="1127"/>
      <c r="N55" s="1134"/>
      <c r="O55" s="1094"/>
      <c r="P55" s="1182"/>
      <c r="Q55" s="1136"/>
      <c r="R55" s="1137"/>
      <c r="S55" s="1138"/>
      <c r="T55" s="1139"/>
      <c r="U55" s="1131"/>
      <c r="V55" s="1139"/>
      <c r="W55" s="1140"/>
      <c r="X55" s="1122"/>
      <c r="Y55" s="1183"/>
      <c r="Z55" s="1142"/>
      <c r="AA55" s="1137"/>
      <c r="AB55" s="1138"/>
      <c r="AC55" s="1139"/>
      <c r="AD55" s="1131"/>
      <c r="AE55" s="1139"/>
      <c r="AF55" s="1131"/>
      <c r="AG55" s="1139"/>
      <c r="AH55" s="1140"/>
      <c r="AI55" s="1122"/>
      <c r="AJ55" s="1144"/>
      <c r="AK55" s="1145"/>
      <c r="AL55" s="1207"/>
    </row>
    <row r="56" spans="1:38" ht="18.75">
      <c r="A56" s="1136"/>
      <c r="B56" s="1166" t="s">
        <v>1277</v>
      </c>
      <c r="C56" s="1128" t="s">
        <v>386</v>
      </c>
      <c r="D56" s="1127">
        <v>1</v>
      </c>
      <c r="E56" s="1127" t="s">
        <v>1279</v>
      </c>
      <c r="F56" s="1129">
        <v>0.3</v>
      </c>
      <c r="G56" s="1129">
        <v>0.16</v>
      </c>
      <c r="H56" s="1129">
        <v>1.5</v>
      </c>
      <c r="I56" s="1181">
        <v>1</v>
      </c>
      <c r="J56" s="1131">
        <v>8</v>
      </c>
      <c r="K56" s="1132"/>
      <c r="L56" s="1133">
        <f>I56*(((F56*G56*H56)/2)*J56)</f>
        <v>0.28800000000000003</v>
      </c>
      <c r="M56" s="1127" t="s">
        <v>1280</v>
      </c>
      <c r="N56" s="1134">
        <f>I56*(G56*H56*J56)</f>
        <v>1.92</v>
      </c>
      <c r="O56" s="1094"/>
      <c r="P56" s="1182" t="s">
        <v>1281</v>
      </c>
      <c r="Q56" s="1136">
        <v>8</v>
      </c>
      <c r="R56" s="1137"/>
      <c r="S56" s="1138">
        <v>1</v>
      </c>
      <c r="T56" s="1139">
        <f>(H56+0.4)-0.06</f>
        <v>1.8399999999999999</v>
      </c>
      <c r="U56" s="1131">
        <v>2</v>
      </c>
      <c r="V56" s="1139">
        <f>6*Q56/1000</f>
        <v>4.8000000000000001E-2</v>
      </c>
      <c r="W56" s="1140">
        <v>8</v>
      </c>
      <c r="X56" s="1122">
        <f>I56*((((T56)+(V56*U56)*S56)*W56))</f>
        <v>15.488</v>
      </c>
      <c r="Y56" s="1183" t="s">
        <v>1282</v>
      </c>
      <c r="Z56" s="1142">
        <v>13</v>
      </c>
      <c r="AA56" s="1137">
        <v>0.15</v>
      </c>
      <c r="AB56" s="1138">
        <f>($G$19)/AA56+1</f>
        <v>2</v>
      </c>
      <c r="AC56" s="1139">
        <v>3.77</v>
      </c>
      <c r="AD56" s="1131">
        <v>2</v>
      </c>
      <c r="AE56" s="1139">
        <f>6*Z56/1000</f>
        <v>7.8E-2</v>
      </c>
      <c r="AF56" s="1131">
        <v>2</v>
      </c>
      <c r="AG56" s="1143">
        <f t="shared" ref="AG56:AG60" si="37">(40*Z56/1000)*AF56</f>
        <v>1.04</v>
      </c>
      <c r="AH56" s="1140">
        <v>1</v>
      </c>
      <c r="AI56" s="1122">
        <f>$J$11*((((AC56)+(AE56*AD56)+(AG56*AF56))*AH56)*AB56)</f>
        <v>96.096000000000004</v>
      </c>
      <c r="AJ56" s="1144">
        <f t="shared" ref="AJ56:AJ61" si="38">((IF(Q56=$AK$7,X56,0)+(IF(Z56=$AK$7,AI56,0))))*$AK$9</f>
        <v>0</v>
      </c>
      <c r="AK56" s="1145">
        <f t="shared" ref="AK56:AK61" si="39">((IF(Q56=$AL$7,X56,0)+(IF(Z56=$AL$7,AI56,0))))*$AL$9</f>
        <v>100.148048</v>
      </c>
      <c r="AL56" s="1146">
        <f t="shared" ref="AL56:AL61" si="40">((IF(Q56=$AM$7,X56,0)+(IF(Z56=$AM$7,AI56,0))))*$AM$9</f>
        <v>0</v>
      </c>
    </row>
    <row r="57" spans="1:38" ht="18.75">
      <c r="A57" s="1126"/>
      <c r="B57" s="1127"/>
      <c r="C57" s="1128"/>
      <c r="D57" s="1127"/>
      <c r="E57" s="1127" t="s">
        <v>1283</v>
      </c>
      <c r="F57" s="1129">
        <v>1.5</v>
      </c>
      <c r="G57" s="1129">
        <v>0.15</v>
      </c>
      <c r="H57" s="1129">
        <v>2.4</v>
      </c>
      <c r="I57" s="1130">
        <v>1</v>
      </c>
      <c r="J57" s="1131"/>
      <c r="K57" s="1132"/>
      <c r="L57" s="1133">
        <f>I57*(F57*G57*H57)</f>
        <v>0.53999999999999992</v>
      </c>
      <c r="M57" s="1127" t="s">
        <v>1284</v>
      </c>
      <c r="N57" s="1134"/>
      <c r="O57" s="1094"/>
      <c r="P57" s="1135" t="s">
        <v>1285</v>
      </c>
      <c r="Q57" s="1136">
        <v>8</v>
      </c>
      <c r="R57" s="1137">
        <v>0.2</v>
      </c>
      <c r="S57" s="1138">
        <f>(H56/R57+1)</f>
        <v>8.5</v>
      </c>
      <c r="T57" s="1139">
        <f>(F56+G56+0.3)-(0.03*2)</f>
        <v>0.7</v>
      </c>
      <c r="U57" s="1131">
        <v>2</v>
      </c>
      <c r="V57" s="1139">
        <f>6*Q57/1000</f>
        <v>4.8000000000000001E-2</v>
      </c>
      <c r="W57" s="1140">
        <v>8</v>
      </c>
      <c r="X57" s="1122">
        <f>I56*(((((T57)+(V57*U57))*S57)*W57))</f>
        <v>54.127999999999993</v>
      </c>
      <c r="Y57" s="1141" t="s">
        <v>1286</v>
      </c>
      <c r="Z57" s="1142">
        <v>13</v>
      </c>
      <c r="AA57" s="1137">
        <v>0.15</v>
      </c>
      <c r="AB57" s="1138">
        <f>($G$19)/AA57+1</f>
        <v>2</v>
      </c>
      <c r="AC57" s="1139">
        <v>4.12</v>
      </c>
      <c r="AD57" s="1131">
        <v>2</v>
      </c>
      <c r="AE57" s="1139">
        <f>6*Z57/1000</f>
        <v>7.8E-2</v>
      </c>
      <c r="AF57" s="1131">
        <v>2</v>
      </c>
      <c r="AG57" s="1143">
        <f t="shared" si="37"/>
        <v>1.04</v>
      </c>
      <c r="AH57" s="1140">
        <v>1</v>
      </c>
      <c r="AI57" s="1122">
        <f t="shared" ref="AI57:AI58" si="41">$J$11*((((AC57)+(AE57*AD57)+(AG57*AF57))*AH57)*AB57)</f>
        <v>101.696</v>
      </c>
      <c r="AJ57" s="1144">
        <f t="shared" si="38"/>
        <v>0</v>
      </c>
      <c r="AK57" s="1145">
        <f t="shared" si="39"/>
        <v>105.98418133333334</v>
      </c>
      <c r="AL57" s="1146">
        <f t="shared" si="40"/>
        <v>0</v>
      </c>
    </row>
    <row r="58" spans="1:38" ht="18.75">
      <c r="A58" s="1126"/>
      <c r="B58" s="1127"/>
      <c r="C58" s="1128"/>
      <c r="D58" s="1127"/>
      <c r="E58" s="1127" t="s">
        <v>1287</v>
      </c>
      <c r="F58" s="1129">
        <v>1.5</v>
      </c>
      <c r="G58" s="1129">
        <v>0.15</v>
      </c>
      <c r="H58" s="1129">
        <v>1.536</v>
      </c>
      <c r="I58" s="1130">
        <v>1</v>
      </c>
      <c r="J58" s="1131"/>
      <c r="K58" s="1132"/>
      <c r="L58" s="1133">
        <f>I58*(F58*G58*H58)</f>
        <v>0.34559999999999996</v>
      </c>
      <c r="M58" s="1127" t="s">
        <v>1288</v>
      </c>
      <c r="N58" s="1134"/>
      <c r="O58" s="1094"/>
      <c r="P58" s="1135"/>
      <c r="Q58" s="1136"/>
      <c r="R58" s="1137"/>
      <c r="S58" s="1138"/>
      <c r="T58" s="1139"/>
      <c r="U58" s="1131"/>
      <c r="V58" s="1139"/>
      <c r="W58" s="1140"/>
      <c r="X58" s="1122"/>
      <c r="Y58" s="1141" t="s">
        <v>1289</v>
      </c>
      <c r="Z58" s="1142">
        <v>13</v>
      </c>
      <c r="AA58" s="1137">
        <v>0.15</v>
      </c>
      <c r="AB58" s="1138">
        <f>($G$19)/AA58+1</f>
        <v>2</v>
      </c>
      <c r="AC58" s="1139">
        <v>1.37</v>
      </c>
      <c r="AD58" s="1131">
        <v>2</v>
      </c>
      <c r="AE58" s="1139">
        <f>6*Z58/1000</f>
        <v>7.8E-2</v>
      </c>
      <c r="AF58" s="1131">
        <v>2</v>
      </c>
      <c r="AG58" s="1143">
        <f t="shared" si="37"/>
        <v>1.04</v>
      </c>
      <c r="AH58" s="1140">
        <v>1</v>
      </c>
      <c r="AI58" s="1122">
        <f t="shared" si="41"/>
        <v>57.695999999999998</v>
      </c>
      <c r="AJ58" s="1144">
        <f t="shared" si="38"/>
        <v>0</v>
      </c>
      <c r="AK58" s="1145">
        <f t="shared" si="39"/>
        <v>60.128847999999998</v>
      </c>
      <c r="AL58" s="1146">
        <f t="shared" si="40"/>
        <v>0</v>
      </c>
    </row>
    <row r="59" spans="1:38" ht="18.75">
      <c r="A59" s="1126"/>
      <c r="B59" s="1127"/>
      <c r="C59" s="1128"/>
      <c r="D59" s="1127"/>
      <c r="E59" s="1127"/>
      <c r="F59" s="1129"/>
      <c r="G59" s="1129"/>
      <c r="H59" s="1129"/>
      <c r="I59" s="1130"/>
      <c r="J59" s="1131"/>
      <c r="K59" s="1132"/>
      <c r="L59" s="1133"/>
      <c r="M59" s="1127" t="s">
        <v>1290</v>
      </c>
      <c r="N59" s="1134"/>
      <c r="O59" s="1094"/>
      <c r="P59" s="1135"/>
      <c r="Q59" s="1136"/>
      <c r="R59" s="1137"/>
      <c r="S59" s="1138"/>
      <c r="T59" s="1139"/>
      <c r="U59" s="1131"/>
      <c r="V59" s="1139"/>
      <c r="W59" s="1140"/>
      <c r="X59" s="1145"/>
      <c r="Y59" s="1184" t="s">
        <v>1294</v>
      </c>
      <c r="Z59" s="1137">
        <v>13</v>
      </c>
      <c r="AA59" s="1137">
        <v>0.15</v>
      </c>
      <c r="AB59" s="1138">
        <f>($G$19)/AA59+1</f>
        <v>2</v>
      </c>
      <c r="AC59" s="1139">
        <v>1.74</v>
      </c>
      <c r="AD59" s="1131">
        <v>2</v>
      </c>
      <c r="AE59" s="1139">
        <f t="shared" ref="AE59:AE60" si="42">6*Z59/1000</f>
        <v>7.8E-2</v>
      </c>
      <c r="AF59" s="1131">
        <v>2</v>
      </c>
      <c r="AG59" s="1143">
        <f t="shared" si="37"/>
        <v>1.04</v>
      </c>
      <c r="AH59" s="1140">
        <v>2</v>
      </c>
      <c r="AI59" s="1122">
        <f>$J$11*((((AC59)+(AE59*AD59)+(AG59*AF59))*AH59)*AB59)</f>
        <v>127.232</v>
      </c>
      <c r="AJ59" s="1144">
        <f t="shared" si="38"/>
        <v>0</v>
      </c>
      <c r="AK59" s="1145">
        <f t="shared" si="39"/>
        <v>132.59694933333333</v>
      </c>
      <c r="AL59" s="1146">
        <f t="shared" si="40"/>
        <v>0</v>
      </c>
    </row>
    <row r="60" spans="1:38" ht="18.75">
      <c r="A60" s="1126"/>
      <c r="B60" s="1127"/>
      <c r="C60" s="1128"/>
      <c r="D60" s="1127"/>
      <c r="E60" s="1127"/>
      <c r="F60" s="1129"/>
      <c r="G60" s="1129"/>
      <c r="H60" s="1129"/>
      <c r="I60" s="1130"/>
      <c r="J60" s="1131"/>
      <c r="K60" s="1132"/>
      <c r="L60" s="1133"/>
      <c r="M60" s="1127" t="s">
        <v>1292</v>
      </c>
      <c r="N60" s="1134">
        <f>I57*(F57*H57)</f>
        <v>3.5999999999999996</v>
      </c>
      <c r="O60" s="1094"/>
      <c r="P60" s="1135"/>
      <c r="Q60" s="1136"/>
      <c r="R60" s="1137"/>
      <c r="S60" s="1138"/>
      <c r="T60" s="1139"/>
      <c r="U60" s="1131"/>
      <c r="V60" s="1139"/>
      <c r="W60" s="1140"/>
      <c r="X60" s="1122"/>
      <c r="Y60" s="1141" t="s">
        <v>1291</v>
      </c>
      <c r="Z60" s="1142">
        <v>8</v>
      </c>
      <c r="AA60" s="1137">
        <v>0.15</v>
      </c>
      <c r="AB60" s="1138">
        <f>(H57)/AA60+1</f>
        <v>17</v>
      </c>
      <c r="AC60" s="1139">
        <f>(F57+0.3)-0.06</f>
        <v>1.74</v>
      </c>
      <c r="AD60" s="1131">
        <v>2</v>
      </c>
      <c r="AE60" s="1139">
        <f t="shared" si="42"/>
        <v>4.8000000000000001E-2</v>
      </c>
      <c r="AF60" s="1131">
        <v>0</v>
      </c>
      <c r="AG60" s="1143">
        <f t="shared" si="37"/>
        <v>0</v>
      </c>
      <c r="AH60" s="1140">
        <v>2</v>
      </c>
      <c r="AI60" s="1122">
        <f>$J$11*((((AC60)+(AE60*AD60)+(AG60*AF60))*AH60)*AB60)</f>
        <v>499.392</v>
      </c>
      <c r="AJ60" s="1144">
        <f t="shared" si="38"/>
        <v>0</v>
      </c>
      <c r="AK60" s="1145">
        <f t="shared" si="39"/>
        <v>0</v>
      </c>
      <c r="AL60" s="1146">
        <f t="shared" si="40"/>
        <v>0</v>
      </c>
    </row>
    <row r="61" spans="1:38" ht="18.75">
      <c r="A61" s="1126"/>
      <c r="B61" s="1127"/>
      <c r="C61" s="1128"/>
      <c r="D61" s="1127"/>
      <c r="E61" s="1127"/>
      <c r="F61" s="1129"/>
      <c r="G61" s="1129"/>
      <c r="H61" s="1129"/>
      <c r="I61" s="1130"/>
      <c r="J61" s="1131"/>
      <c r="K61" s="1132"/>
      <c r="L61" s="1133"/>
      <c r="M61" s="1127" t="s">
        <v>1293</v>
      </c>
      <c r="N61" s="1134">
        <f>I58*(F58*H58)</f>
        <v>2.3040000000000003</v>
      </c>
      <c r="O61" s="1094"/>
      <c r="P61" s="1135"/>
      <c r="Q61" s="1136"/>
      <c r="R61" s="1137"/>
      <c r="S61" s="1138"/>
      <c r="T61" s="1139"/>
      <c r="U61" s="1131"/>
      <c r="V61" s="1139"/>
      <c r="W61" s="1140"/>
      <c r="X61" s="1122"/>
      <c r="Y61" s="1141"/>
      <c r="Z61" s="1142"/>
      <c r="AA61" s="1137"/>
      <c r="AB61" s="1138"/>
      <c r="AC61" s="1139"/>
      <c r="AD61" s="1131"/>
      <c r="AE61" s="1139"/>
      <c r="AF61" s="1131"/>
      <c r="AG61" s="1139"/>
      <c r="AH61" s="1140"/>
      <c r="AI61" s="1122"/>
      <c r="AJ61" s="1144">
        <f t="shared" si="38"/>
        <v>0</v>
      </c>
      <c r="AK61" s="1145">
        <f t="shared" si="39"/>
        <v>0</v>
      </c>
      <c r="AL61" s="1146">
        <f t="shared" si="40"/>
        <v>0</v>
      </c>
    </row>
    <row r="62" spans="1:38" ht="18.75">
      <c r="A62" s="1126"/>
      <c r="B62" s="1127"/>
      <c r="C62" s="1128"/>
      <c r="D62" s="1127"/>
      <c r="E62" s="1127"/>
      <c r="F62" s="1168"/>
      <c r="G62" s="1168"/>
      <c r="H62" s="1168"/>
      <c r="I62" s="1130"/>
      <c r="J62" s="1169"/>
      <c r="K62" s="1132"/>
      <c r="L62" s="1133"/>
      <c r="M62" s="1127"/>
      <c r="N62" s="1134"/>
      <c r="O62" s="1094"/>
      <c r="P62" s="1135"/>
      <c r="Q62" s="1136"/>
      <c r="R62" s="1137"/>
      <c r="S62" s="1138"/>
      <c r="T62" s="1139"/>
      <c r="U62" s="1131"/>
      <c r="V62" s="1139"/>
      <c r="W62" s="1140"/>
      <c r="X62" s="1122"/>
      <c r="Y62" s="1141"/>
      <c r="Z62" s="1142"/>
      <c r="AA62" s="1137"/>
      <c r="AB62" s="1138"/>
      <c r="AC62" s="1139"/>
      <c r="AD62" s="1131"/>
      <c r="AE62" s="1139"/>
      <c r="AF62" s="1131"/>
      <c r="AG62" s="1139"/>
      <c r="AH62" s="1140"/>
      <c r="AI62" s="1122"/>
      <c r="AJ62" s="1144"/>
      <c r="AK62" s="1145"/>
      <c r="AL62" s="1146"/>
    </row>
    <row r="63" spans="1:38" ht="18.75">
      <c r="A63" s="1136"/>
      <c r="B63" s="1166"/>
      <c r="C63" s="1128"/>
      <c r="D63" s="1127">
        <v>2</v>
      </c>
      <c r="E63" s="1127" t="s">
        <v>1279</v>
      </c>
      <c r="F63" s="1129">
        <v>0.3</v>
      </c>
      <c r="G63" s="1129">
        <v>0.16</v>
      </c>
      <c r="H63" s="1129">
        <v>1.5</v>
      </c>
      <c r="I63" s="1181">
        <v>1</v>
      </c>
      <c r="J63" s="1131">
        <v>9</v>
      </c>
      <c r="K63" s="1132"/>
      <c r="L63" s="1133">
        <f>I63*(((F63*G63*H63)/2)*J63)</f>
        <v>0.32400000000000007</v>
      </c>
      <c r="M63" s="1127" t="s">
        <v>1280</v>
      </c>
      <c r="N63" s="1134">
        <f>I63*(G63*H63*J63)</f>
        <v>2.16</v>
      </c>
      <c r="O63" s="1094"/>
      <c r="P63" s="1182" t="s">
        <v>1281</v>
      </c>
      <c r="Q63" s="1136">
        <v>8</v>
      </c>
      <c r="R63" s="1137"/>
      <c r="S63" s="1138">
        <v>1</v>
      </c>
      <c r="T63" s="1139">
        <f>(H63+0.4)-0.06</f>
        <v>1.8399999999999999</v>
      </c>
      <c r="U63" s="1131">
        <v>2</v>
      </c>
      <c r="V63" s="1139">
        <f>6*Q63/1000</f>
        <v>4.8000000000000001E-2</v>
      </c>
      <c r="W63" s="1140">
        <v>9</v>
      </c>
      <c r="X63" s="1122">
        <f>I63*((((T63)+(V63*U63)*S63)*W63))</f>
        <v>17.423999999999999</v>
      </c>
      <c r="Y63" s="1183" t="s">
        <v>1282</v>
      </c>
      <c r="Z63" s="1142">
        <v>13</v>
      </c>
      <c r="AA63" s="1137">
        <v>0.15</v>
      </c>
      <c r="AB63" s="1138">
        <f>($G$19)/AA63+1</f>
        <v>2</v>
      </c>
      <c r="AC63" s="1139">
        <f>1.5+3.06</f>
        <v>4.5600000000000005</v>
      </c>
      <c r="AD63" s="1131">
        <v>2</v>
      </c>
      <c r="AE63" s="1139">
        <f>6*Z63/1000</f>
        <v>7.8E-2</v>
      </c>
      <c r="AF63" s="1131">
        <v>2</v>
      </c>
      <c r="AG63" s="1143">
        <f t="shared" ref="AG63:AG67" si="43">(40*Z63/1000)*AF63</f>
        <v>1.04</v>
      </c>
      <c r="AH63" s="1140">
        <v>1</v>
      </c>
      <c r="AI63" s="1122">
        <f>$J$11*((((AC63)+(AE63*AD63)+(AG63*AF63))*AH63)*AB63)</f>
        <v>108.736</v>
      </c>
      <c r="AJ63" s="1144">
        <f t="shared" ref="AJ63:AJ68" si="44">((IF(Q63=$AK$7,X63,0)+(IF(Z63=$AK$7,AI63,0))))*$AK$9</f>
        <v>0</v>
      </c>
      <c r="AK63" s="1145">
        <f t="shared" ref="AK63:AK68" si="45">((IF(Q63=$AL$7,X63,0)+(IF(Z63=$AL$7,AI63,0))))*$AL$9</f>
        <v>113.32103466666668</v>
      </c>
      <c r="AL63" s="1146">
        <f t="shared" ref="AL63:AL68" si="46">((IF(Q63=$AM$7,X63,0)+(IF(Z63=$AM$7,AI63,0))))*$AM$9</f>
        <v>0</v>
      </c>
    </row>
    <row r="64" spans="1:38" ht="18.75">
      <c r="A64" s="1126"/>
      <c r="B64" s="1127"/>
      <c r="C64" s="1128"/>
      <c r="D64" s="1127"/>
      <c r="E64" s="1127" t="s">
        <v>1283</v>
      </c>
      <c r="F64" s="1129">
        <v>1.5</v>
      </c>
      <c r="G64" s="1129">
        <v>0.15</v>
      </c>
      <c r="H64" s="1129">
        <f>0.34*9</f>
        <v>3.06</v>
      </c>
      <c r="I64" s="1130">
        <v>1</v>
      </c>
      <c r="J64" s="1131"/>
      <c r="K64" s="1132"/>
      <c r="L64" s="1133">
        <f>I64*(F64*G64*H64)</f>
        <v>0.68849999999999989</v>
      </c>
      <c r="M64" s="1127" t="s">
        <v>1284</v>
      </c>
      <c r="N64" s="1134"/>
      <c r="O64" s="1094"/>
      <c r="P64" s="1135" t="s">
        <v>1285</v>
      </c>
      <c r="Q64" s="1136">
        <v>8</v>
      </c>
      <c r="R64" s="1137">
        <v>0.2</v>
      </c>
      <c r="S64" s="1138">
        <f>(H63/R64+1)</f>
        <v>8.5</v>
      </c>
      <c r="T64" s="1139">
        <f>(F63+G63+0.3)-(0.03*2)</f>
        <v>0.7</v>
      </c>
      <c r="U64" s="1131">
        <v>2</v>
      </c>
      <c r="V64" s="1139">
        <f>6*Q64/1000</f>
        <v>4.8000000000000001E-2</v>
      </c>
      <c r="W64" s="1140">
        <v>9</v>
      </c>
      <c r="X64" s="1122">
        <f>I63*(((((T64)+(V64*U64))*S64)*W64))</f>
        <v>60.893999999999991</v>
      </c>
      <c r="Y64" s="1141" t="s">
        <v>1286</v>
      </c>
      <c r="Z64" s="1142">
        <v>13</v>
      </c>
      <c r="AA64" s="1137">
        <v>0.15</v>
      </c>
      <c r="AB64" s="1138">
        <f>($G$19)/AA64+1</f>
        <v>2</v>
      </c>
      <c r="AC64" s="1139">
        <f>1.5+3.06</f>
        <v>4.5600000000000005</v>
      </c>
      <c r="AD64" s="1131">
        <v>2</v>
      </c>
      <c r="AE64" s="1139">
        <f>6*Z64/1000</f>
        <v>7.8E-2</v>
      </c>
      <c r="AF64" s="1131">
        <v>2</v>
      </c>
      <c r="AG64" s="1143">
        <f t="shared" si="43"/>
        <v>1.04</v>
      </c>
      <c r="AH64" s="1140">
        <v>1</v>
      </c>
      <c r="AI64" s="1122">
        <f t="shared" ref="AI64:AI65" si="47">$J$11*((((AC64)+(AE64*AD64)+(AG64*AF64))*AH64)*AB64)</f>
        <v>108.736</v>
      </c>
      <c r="AJ64" s="1144">
        <f t="shared" si="44"/>
        <v>0</v>
      </c>
      <c r="AK64" s="1145">
        <f t="shared" si="45"/>
        <v>113.32103466666668</v>
      </c>
      <c r="AL64" s="1146">
        <f t="shared" si="46"/>
        <v>0</v>
      </c>
    </row>
    <row r="65" spans="1:38" ht="18.75">
      <c r="A65" s="1126"/>
      <c r="B65" s="1127"/>
      <c r="C65" s="1128"/>
      <c r="D65" s="1127"/>
      <c r="E65" s="1127" t="s">
        <v>1287</v>
      </c>
      <c r="F65" s="1129">
        <v>1.5</v>
      </c>
      <c r="G65" s="1129">
        <v>0.15</v>
      </c>
      <c r="H65" s="1129">
        <v>1.91</v>
      </c>
      <c r="I65" s="1130">
        <v>1</v>
      </c>
      <c r="J65" s="1131"/>
      <c r="K65" s="1132"/>
      <c r="L65" s="1133">
        <f>I65*(F65*G65*H65)</f>
        <v>0.42974999999999997</v>
      </c>
      <c r="M65" s="1127" t="s">
        <v>1288</v>
      </c>
      <c r="N65" s="1134"/>
      <c r="O65" s="1094"/>
      <c r="P65" s="1135"/>
      <c r="Q65" s="1136"/>
      <c r="R65" s="1137"/>
      <c r="S65" s="1138"/>
      <c r="T65" s="1139"/>
      <c r="U65" s="1131"/>
      <c r="V65" s="1139"/>
      <c r="W65" s="1140"/>
      <c r="X65" s="1122"/>
      <c r="Y65" s="1141" t="s">
        <v>1289</v>
      </c>
      <c r="Z65" s="1142">
        <v>13</v>
      </c>
      <c r="AA65" s="1137">
        <v>0.15</v>
      </c>
      <c r="AB65" s="1138">
        <f>($G$19)/AA65+1</f>
        <v>2</v>
      </c>
      <c r="AC65" s="1139">
        <v>1.5</v>
      </c>
      <c r="AD65" s="1131">
        <v>2</v>
      </c>
      <c r="AE65" s="1139">
        <f>6*Z65/1000</f>
        <v>7.8E-2</v>
      </c>
      <c r="AF65" s="1131">
        <v>2</v>
      </c>
      <c r="AG65" s="1143">
        <f t="shared" si="43"/>
        <v>1.04</v>
      </c>
      <c r="AH65" s="1140">
        <v>1</v>
      </c>
      <c r="AI65" s="1122">
        <f t="shared" si="47"/>
        <v>59.775999999999996</v>
      </c>
      <c r="AJ65" s="1144">
        <f t="shared" si="44"/>
        <v>0</v>
      </c>
      <c r="AK65" s="1145">
        <f t="shared" si="45"/>
        <v>62.296554666666665</v>
      </c>
      <c r="AL65" s="1146">
        <f t="shared" si="46"/>
        <v>0</v>
      </c>
    </row>
    <row r="66" spans="1:38" ht="18.75">
      <c r="A66" s="1126"/>
      <c r="B66" s="1127"/>
      <c r="C66" s="1128"/>
      <c r="D66" s="1127"/>
      <c r="E66" s="1127"/>
      <c r="F66" s="1129"/>
      <c r="G66" s="1129"/>
      <c r="H66" s="1129"/>
      <c r="I66" s="1130"/>
      <c r="J66" s="1131"/>
      <c r="K66" s="1132"/>
      <c r="L66" s="1133"/>
      <c r="M66" s="1127" t="s">
        <v>1290</v>
      </c>
      <c r="N66" s="1134"/>
      <c r="O66" s="1094"/>
      <c r="P66" s="1135"/>
      <c r="Q66" s="1136"/>
      <c r="R66" s="1137"/>
      <c r="S66" s="1138"/>
      <c r="T66" s="1139"/>
      <c r="U66" s="1131"/>
      <c r="V66" s="1139"/>
      <c r="W66" s="1140"/>
      <c r="X66" s="1145"/>
      <c r="Y66" s="1184" t="s">
        <v>1294</v>
      </c>
      <c r="Z66" s="1137">
        <v>13</v>
      </c>
      <c r="AA66" s="1137">
        <v>0.15</v>
      </c>
      <c r="AB66" s="1138">
        <f>($G$19)/AA66+1</f>
        <v>2</v>
      </c>
      <c r="AC66" s="1139">
        <v>1.5</v>
      </c>
      <c r="AD66" s="1131">
        <v>2</v>
      </c>
      <c r="AE66" s="1139">
        <f t="shared" ref="AE66:AE67" si="48">6*Z66/1000</f>
        <v>7.8E-2</v>
      </c>
      <c r="AF66" s="1131">
        <v>2</v>
      </c>
      <c r="AG66" s="1143">
        <f t="shared" si="43"/>
        <v>1.04</v>
      </c>
      <c r="AH66" s="1140">
        <v>2</v>
      </c>
      <c r="AI66" s="1122">
        <f>$J$11*((((AC66)+(AE66*AD66)+(AG66*AF66))*AH66)*AB66)</f>
        <v>119.55199999999999</v>
      </c>
      <c r="AJ66" s="1144">
        <f t="shared" si="44"/>
        <v>0</v>
      </c>
      <c r="AK66" s="1145">
        <f t="shared" si="45"/>
        <v>124.59310933333333</v>
      </c>
      <c r="AL66" s="1146">
        <f t="shared" si="46"/>
        <v>0</v>
      </c>
    </row>
    <row r="67" spans="1:38" ht="18.75">
      <c r="A67" s="1126"/>
      <c r="B67" s="1127"/>
      <c r="C67" s="1128"/>
      <c r="D67" s="1127"/>
      <c r="E67" s="1127"/>
      <c r="F67" s="1129"/>
      <c r="G67" s="1129"/>
      <c r="H67" s="1129"/>
      <c r="I67" s="1130"/>
      <c r="J67" s="1131"/>
      <c r="K67" s="1132"/>
      <c r="L67" s="1133"/>
      <c r="M67" s="1127" t="s">
        <v>1292</v>
      </c>
      <c r="N67" s="1134">
        <f>I64*(F64*H64)</f>
        <v>4.59</v>
      </c>
      <c r="O67" s="1094"/>
      <c r="P67" s="1135"/>
      <c r="Q67" s="1136"/>
      <c r="R67" s="1137"/>
      <c r="S67" s="1138"/>
      <c r="T67" s="1139"/>
      <c r="U67" s="1131"/>
      <c r="V67" s="1139"/>
      <c r="W67" s="1140"/>
      <c r="X67" s="1122"/>
      <c r="Y67" s="1141" t="s">
        <v>1291</v>
      </c>
      <c r="Z67" s="1142">
        <v>8</v>
      </c>
      <c r="AA67" s="1137">
        <v>0.15</v>
      </c>
      <c r="AB67" s="1138">
        <f>(H64)/AA67+1</f>
        <v>21.400000000000002</v>
      </c>
      <c r="AC67" s="1139">
        <f>(F64+0.3)-0.06</f>
        <v>1.74</v>
      </c>
      <c r="AD67" s="1131">
        <v>2</v>
      </c>
      <c r="AE67" s="1139">
        <f t="shared" si="48"/>
        <v>4.8000000000000001E-2</v>
      </c>
      <c r="AF67" s="1131">
        <v>0</v>
      </c>
      <c r="AG67" s="1143">
        <f t="shared" si="43"/>
        <v>0</v>
      </c>
      <c r="AH67" s="1140">
        <v>2</v>
      </c>
      <c r="AI67" s="1122">
        <f>$J$11*((((AC67)+(AE67*AD67)+(AG67*AF67))*AH67)*AB67)</f>
        <v>628.64640000000009</v>
      </c>
      <c r="AJ67" s="1144">
        <f t="shared" si="44"/>
        <v>0</v>
      </c>
      <c r="AK67" s="1145">
        <f t="shared" si="45"/>
        <v>0</v>
      </c>
      <c r="AL67" s="1146">
        <f t="shared" si="46"/>
        <v>0</v>
      </c>
    </row>
    <row r="68" spans="1:38" ht="18.75">
      <c r="A68" s="1126"/>
      <c r="B68" s="1127"/>
      <c r="C68" s="1128"/>
      <c r="D68" s="1127"/>
      <c r="E68" s="1127"/>
      <c r="F68" s="1129"/>
      <c r="G68" s="1129"/>
      <c r="H68" s="1129"/>
      <c r="I68" s="1130"/>
      <c r="J68" s="1131"/>
      <c r="K68" s="1132"/>
      <c r="L68" s="1133"/>
      <c r="M68" s="1127" t="s">
        <v>1293</v>
      </c>
      <c r="N68" s="1134">
        <f>I65*(F65*H65)</f>
        <v>2.8649999999999998</v>
      </c>
      <c r="O68" s="1094"/>
      <c r="P68" s="1135"/>
      <c r="Q68" s="1136"/>
      <c r="R68" s="1137"/>
      <c r="S68" s="1138"/>
      <c r="T68" s="1139"/>
      <c r="U68" s="1131"/>
      <c r="V68" s="1139"/>
      <c r="W68" s="1140"/>
      <c r="X68" s="1122"/>
      <c r="Y68" s="1141"/>
      <c r="Z68" s="1142"/>
      <c r="AA68" s="1137"/>
      <c r="AB68" s="1138"/>
      <c r="AC68" s="1139"/>
      <c r="AD68" s="1131"/>
      <c r="AE68" s="1139"/>
      <c r="AF68" s="1131"/>
      <c r="AG68" s="1139"/>
      <c r="AH68" s="1140"/>
      <c r="AI68" s="1122"/>
      <c r="AJ68" s="1144">
        <f t="shared" si="44"/>
        <v>0</v>
      </c>
      <c r="AK68" s="1145">
        <f t="shared" si="45"/>
        <v>0</v>
      </c>
      <c r="AL68" s="1146">
        <f t="shared" si="46"/>
        <v>0</v>
      </c>
    </row>
    <row r="69" spans="1:38" ht="18.75">
      <c r="A69" s="1126"/>
      <c r="B69" s="1127"/>
      <c r="C69" s="1128"/>
      <c r="D69" s="1127"/>
      <c r="E69" s="1127"/>
      <c r="F69" s="1168"/>
      <c r="G69" s="1168"/>
      <c r="H69" s="1168"/>
      <c r="I69" s="1130"/>
      <c r="J69" s="1169"/>
      <c r="K69" s="1132"/>
      <c r="L69" s="1133"/>
      <c r="M69" s="1127"/>
      <c r="N69" s="1134"/>
      <c r="O69" s="1094"/>
      <c r="P69" s="1135"/>
      <c r="Q69" s="1136"/>
      <c r="R69" s="1137"/>
      <c r="S69" s="1138"/>
      <c r="T69" s="1139"/>
      <c r="U69" s="1131"/>
      <c r="V69" s="1139"/>
      <c r="W69" s="1140"/>
      <c r="X69" s="1122"/>
      <c r="Y69" s="1141"/>
      <c r="Z69" s="1142"/>
      <c r="AA69" s="1137"/>
      <c r="AB69" s="1138"/>
      <c r="AC69" s="1139"/>
      <c r="AD69" s="1131"/>
      <c r="AE69" s="1139"/>
      <c r="AF69" s="1131"/>
      <c r="AG69" s="1139"/>
      <c r="AH69" s="1140"/>
      <c r="AI69" s="1122"/>
      <c r="AJ69" s="1144"/>
      <c r="AK69" s="1145"/>
      <c r="AL69" s="1146"/>
    </row>
    <row r="70" spans="1:38" ht="18.75">
      <c r="A70" s="1136"/>
      <c r="B70" s="1166"/>
      <c r="C70" s="1128"/>
      <c r="D70" s="1127">
        <v>3</v>
      </c>
      <c r="E70" s="1127" t="s">
        <v>1279</v>
      </c>
      <c r="F70" s="1129">
        <v>0.3</v>
      </c>
      <c r="G70" s="1129">
        <v>0.16</v>
      </c>
      <c r="H70" s="1129">
        <v>1.5</v>
      </c>
      <c r="I70" s="1181">
        <v>1</v>
      </c>
      <c r="J70" s="1131">
        <v>8</v>
      </c>
      <c r="K70" s="1132"/>
      <c r="L70" s="1133">
        <f>I70*(((F70*G70*H70)/2)*J70)</f>
        <v>0.28800000000000003</v>
      </c>
      <c r="M70" s="1127" t="s">
        <v>1280</v>
      </c>
      <c r="N70" s="1134">
        <f>I70*(G70*H70*J70)</f>
        <v>1.92</v>
      </c>
      <c r="O70" s="1094"/>
      <c r="P70" s="1182" t="s">
        <v>1281</v>
      </c>
      <c r="Q70" s="1136">
        <v>8</v>
      </c>
      <c r="R70" s="1137"/>
      <c r="S70" s="1138">
        <v>1</v>
      </c>
      <c r="T70" s="1139">
        <f>(H70+0.4)-0.06</f>
        <v>1.8399999999999999</v>
      </c>
      <c r="U70" s="1131">
        <v>2</v>
      </c>
      <c r="V70" s="1139">
        <f>6*Q70/1000</f>
        <v>4.8000000000000001E-2</v>
      </c>
      <c r="W70" s="1140">
        <v>8</v>
      </c>
      <c r="X70" s="1122">
        <f>I70*((((T70)+(V70*U70)*S70)*W70))</f>
        <v>15.488</v>
      </c>
      <c r="Y70" s="1183" t="s">
        <v>1282</v>
      </c>
      <c r="Z70" s="1142">
        <v>13</v>
      </c>
      <c r="AA70" s="1137">
        <v>0.15</v>
      </c>
      <c r="AB70" s="1138">
        <f>($G$19)/AA70+1</f>
        <v>2</v>
      </c>
      <c r="AC70" s="1139">
        <v>4.83</v>
      </c>
      <c r="AD70" s="1131">
        <v>2</v>
      </c>
      <c r="AE70" s="1139">
        <f>6*Z70/1000</f>
        <v>7.8E-2</v>
      </c>
      <c r="AF70" s="1131">
        <v>2</v>
      </c>
      <c r="AG70" s="1143">
        <f t="shared" ref="AG70:AG74" si="49">(40*Z70/1000)*AF70</f>
        <v>1.04</v>
      </c>
      <c r="AH70" s="1140">
        <v>1</v>
      </c>
      <c r="AI70" s="1122">
        <f>$J$11*((((AC70)+(AE70*AD70)+(AG70*AF70))*AH70)*AB70)</f>
        <v>113.056</v>
      </c>
      <c r="AJ70" s="1144">
        <f t="shared" ref="AJ70:AJ75" si="50">((IF(Q70=$AK$7,X70,0)+(IF(Z70=$AK$7,AI70,0))))*$AK$9</f>
        <v>0</v>
      </c>
      <c r="AK70" s="1145">
        <f t="shared" ref="AK70:AK75" si="51">((IF(Q70=$AL$7,X70,0)+(IF(Z70=$AL$7,AI70,0))))*$AL$9</f>
        <v>117.82319466666667</v>
      </c>
      <c r="AL70" s="1146">
        <f t="shared" ref="AL70:AL75" si="52">((IF(Q70=$AM$7,X70,0)+(IF(Z70=$AM$7,AI70,0))))*$AM$9</f>
        <v>0</v>
      </c>
    </row>
    <row r="71" spans="1:38" ht="18.75">
      <c r="A71" s="1126"/>
      <c r="B71" s="1127"/>
      <c r="C71" s="1128"/>
      <c r="D71" s="1127"/>
      <c r="E71" s="1127" t="s">
        <v>1283</v>
      </c>
      <c r="F71" s="1129">
        <v>1.5</v>
      </c>
      <c r="G71" s="1129">
        <v>0.15</v>
      </c>
      <c r="H71" s="1129">
        <v>2.72</v>
      </c>
      <c r="I71" s="1130">
        <v>1</v>
      </c>
      <c r="J71" s="1131"/>
      <c r="K71" s="1132"/>
      <c r="L71" s="1133">
        <f>I71*(F71*G71*H71)</f>
        <v>0.61199999999999999</v>
      </c>
      <c r="M71" s="1127" t="s">
        <v>1284</v>
      </c>
      <c r="N71" s="1134"/>
      <c r="O71" s="1094"/>
      <c r="P71" s="1135" t="s">
        <v>1285</v>
      </c>
      <c r="Q71" s="1136">
        <v>8</v>
      </c>
      <c r="R71" s="1137">
        <v>0.2</v>
      </c>
      <c r="S71" s="1138">
        <f>(H70/R71+1)</f>
        <v>8.5</v>
      </c>
      <c r="T71" s="1139">
        <f>(F70+G70+0.3)-(0.03*2)</f>
        <v>0.7</v>
      </c>
      <c r="U71" s="1131">
        <v>2</v>
      </c>
      <c r="V71" s="1139">
        <f>6*Q71/1000</f>
        <v>4.8000000000000001E-2</v>
      </c>
      <c r="W71" s="1140">
        <v>8</v>
      </c>
      <c r="X71" s="1122">
        <f>I70*(((((T71)+(V71*U71))*S71)*W71))</f>
        <v>54.127999999999993</v>
      </c>
      <c r="Y71" s="1141" t="s">
        <v>1286</v>
      </c>
      <c r="Z71" s="1142">
        <v>13</v>
      </c>
      <c r="AA71" s="1137">
        <v>0.15</v>
      </c>
      <c r="AB71" s="1138">
        <f>($G$19)/AA71+1</f>
        <v>2</v>
      </c>
      <c r="AC71" s="1139">
        <f>0.71+2.72</f>
        <v>3.43</v>
      </c>
      <c r="AD71" s="1131">
        <v>2</v>
      </c>
      <c r="AE71" s="1139">
        <f>6*Z71/1000</f>
        <v>7.8E-2</v>
      </c>
      <c r="AF71" s="1131">
        <v>2</v>
      </c>
      <c r="AG71" s="1143">
        <f t="shared" si="49"/>
        <v>1.04</v>
      </c>
      <c r="AH71" s="1140">
        <v>1</v>
      </c>
      <c r="AI71" s="1122">
        <f t="shared" ref="AI71:AI72" si="53">$J$11*((((AC71)+(AE71*AD71)+(AG71*AF71))*AH71)*AB71)</f>
        <v>90.656000000000006</v>
      </c>
      <c r="AJ71" s="1144">
        <f t="shared" si="50"/>
        <v>0</v>
      </c>
      <c r="AK71" s="1145">
        <f t="shared" si="51"/>
        <v>94.478661333333335</v>
      </c>
      <c r="AL71" s="1146">
        <f t="shared" si="52"/>
        <v>0</v>
      </c>
    </row>
    <row r="72" spans="1:38" ht="18.75">
      <c r="A72" s="1126"/>
      <c r="B72" s="1127"/>
      <c r="C72" s="1128"/>
      <c r="D72" s="1127"/>
      <c r="E72" s="1127"/>
      <c r="F72" s="1129"/>
      <c r="G72" s="1129"/>
      <c r="H72" s="1129"/>
      <c r="I72" s="1130"/>
      <c r="J72" s="1131"/>
      <c r="K72" s="1132"/>
      <c r="L72" s="1133">
        <f>I72*(F72*G72*H72)</f>
        <v>0</v>
      </c>
      <c r="M72" s="1127" t="s">
        <v>1288</v>
      </c>
      <c r="N72" s="1134"/>
      <c r="O72" s="1094"/>
      <c r="P72" s="1135"/>
      <c r="Q72" s="1136"/>
      <c r="R72" s="1137"/>
      <c r="S72" s="1138"/>
      <c r="T72" s="1139"/>
      <c r="U72" s="1131"/>
      <c r="V72" s="1139"/>
      <c r="W72" s="1140"/>
      <c r="X72" s="1122"/>
      <c r="Y72" s="1141" t="s">
        <v>1289</v>
      </c>
      <c r="Z72" s="1142">
        <v>13</v>
      </c>
      <c r="AA72" s="1137">
        <v>0.15</v>
      </c>
      <c r="AB72" s="1138">
        <f>($G$19)/AA72+1</f>
        <v>2</v>
      </c>
      <c r="AC72" s="1139">
        <v>2.11</v>
      </c>
      <c r="AD72" s="1131">
        <v>2</v>
      </c>
      <c r="AE72" s="1139">
        <f>6*Z72/1000</f>
        <v>7.8E-2</v>
      </c>
      <c r="AF72" s="1131">
        <v>2</v>
      </c>
      <c r="AG72" s="1143">
        <f t="shared" si="49"/>
        <v>1.04</v>
      </c>
      <c r="AH72" s="1140">
        <v>1</v>
      </c>
      <c r="AI72" s="1122">
        <f t="shared" si="53"/>
        <v>69.536000000000001</v>
      </c>
      <c r="AJ72" s="1144">
        <f t="shared" si="50"/>
        <v>0</v>
      </c>
      <c r="AK72" s="1145">
        <f t="shared" si="51"/>
        <v>72.468101333333337</v>
      </c>
      <c r="AL72" s="1146">
        <f t="shared" si="52"/>
        <v>0</v>
      </c>
    </row>
    <row r="73" spans="1:38" ht="18.75">
      <c r="A73" s="1126"/>
      <c r="B73" s="1127"/>
      <c r="C73" s="1128"/>
      <c r="D73" s="1127"/>
      <c r="E73" s="1127"/>
      <c r="F73" s="1129"/>
      <c r="G73" s="1129"/>
      <c r="H73" s="1129"/>
      <c r="I73" s="1130"/>
      <c r="J73" s="1131"/>
      <c r="K73" s="1132"/>
      <c r="L73" s="1133"/>
      <c r="M73" s="1127" t="s">
        <v>1290</v>
      </c>
      <c r="N73" s="1134"/>
      <c r="O73" s="1094"/>
      <c r="P73" s="1135"/>
      <c r="Q73" s="1136"/>
      <c r="R73" s="1137"/>
      <c r="S73" s="1138"/>
      <c r="T73" s="1139"/>
      <c r="U73" s="1131"/>
      <c r="V73" s="1139"/>
      <c r="W73" s="1140"/>
      <c r="X73" s="1145"/>
      <c r="Y73" s="1184" t="s">
        <v>1294</v>
      </c>
      <c r="Z73" s="1137">
        <v>13</v>
      </c>
      <c r="AA73" s="1137">
        <v>0.15</v>
      </c>
      <c r="AB73" s="1138">
        <f>($G$19)/AA73+1</f>
        <v>2</v>
      </c>
      <c r="AC73" s="1139">
        <v>0.71</v>
      </c>
      <c r="AD73" s="1131">
        <v>2</v>
      </c>
      <c r="AE73" s="1139">
        <f t="shared" ref="AE73:AE74" si="54">6*Z73/1000</f>
        <v>7.8E-2</v>
      </c>
      <c r="AF73" s="1131">
        <v>2</v>
      </c>
      <c r="AG73" s="1143">
        <f t="shared" si="49"/>
        <v>1.04</v>
      </c>
      <c r="AH73" s="1140">
        <v>2</v>
      </c>
      <c r="AI73" s="1122">
        <f>$J$11*((((AC73)+(AE73*AD73)+(AG73*AF73))*AH73)*AB73)</f>
        <v>94.272000000000006</v>
      </c>
      <c r="AJ73" s="1144">
        <f t="shared" si="50"/>
        <v>0</v>
      </c>
      <c r="AK73" s="1145">
        <f t="shared" si="51"/>
        <v>98.247136000000012</v>
      </c>
      <c r="AL73" s="1146">
        <f t="shared" si="52"/>
        <v>0</v>
      </c>
    </row>
    <row r="74" spans="1:38" ht="18.75">
      <c r="A74" s="1126"/>
      <c r="B74" s="1127"/>
      <c r="C74" s="1128"/>
      <c r="D74" s="1127"/>
      <c r="E74" s="1127"/>
      <c r="F74" s="1129"/>
      <c r="G74" s="1129"/>
      <c r="H74" s="1129"/>
      <c r="I74" s="1130"/>
      <c r="J74" s="1131"/>
      <c r="K74" s="1132"/>
      <c r="L74" s="1133"/>
      <c r="M74" s="1127" t="s">
        <v>1292</v>
      </c>
      <c r="N74" s="1134">
        <f>I71*(F71*H71)</f>
        <v>4.08</v>
      </c>
      <c r="O74" s="1094"/>
      <c r="P74" s="1135"/>
      <c r="Q74" s="1136"/>
      <c r="R74" s="1137"/>
      <c r="S74" s="1138"/>
      <c r="T74" s="1139"/>
      <c r="U74" s="1131"/>
      <c r="V74" s="1139"/>
      <c r="W74" s="1140"/>
      <c r="X74" s="1122"/>
      <c r="Y74" s="1141" t="s">
        <v>1291</v>
      </c>
      <c r="Z74" s="1142">
        <v>8</v>
      </c>
      <c r="AA74" s="1137">
        <v>0.15</v>
      </c>
      <c r="AB74" s="1138">
        <f>(H71)/AA74+1</f>
        <v>19.133333333333336</v>
      </c>
      <c r="AC74" s="1139">
        <f>(F71+0.3)-0.06</f>
        <v>1.74</v>
      </c>
      <c r="AD74" s="1131">
        <v>2</v>
      </c>
      <c r="AE74" s="1139">
        <f t="shared" si="54"/>
        <v>4.8000000000000001E-2</v>
      </c>
      <c r="AF74" s="1131">
        <v>0</v>
      </c>
      <c r="AG74" s="1143">
        <f t="shared" si="49"/>
        <v>0</v>
      </c>
      <c r="AH74" s="1140">
        <v>2</v>
      </c>
      <c r="AI74" s="1122">
        <f>$J$11*((((AC74)+(AE74*AD74)+(AG74*AF74))*AH74)*AB74)</f>
        <v>562.06080000000009</v>
      </c>
      <c r="AJ74" s="1144">
        <f t="shared" si="50"/>
        <v>0</v>
      </c>
      <c r="AK74" s="1145">
        <f t="shared" si="51"/>
        <v>0</v>
      </c>
      <c r="AL74" s="1146">
        <f t="shared" si="52"/>
        <v>0</v>
      </c>
    </row>
    <row r="75" spans="1:38" ht="19.5" thickBot="1">
      <c r="A75" s="1126"/>
      <c r="B75" s="1127"/>
      <c r="C75" s="1128"/>
      <c r="D75" s="1127"/>
      <c r="E75" s="1127"/>
      <c r="F75" s="1129"/>
      <c r="G75" s="1129"/>
      <c r="H75" s="1129"/>
      <c r="I75" s="1130"/>
      <c r="J75" s="1131"/>
      <c r="K75" s="1132"/>
      <c r="L75" s="1133"/>
      <c r="M75" s="1127"/>
      <c r="N75" s="1134"/>
      <c r="O75" s="1094"/>
      <c r="P75" s="1135"/>
      <c r="Q75" s="1136"/>
      <c r="R75" s="1137"/>
      <c r="S75" s="1138"/>
      <c r="T75" s="1139"/>
      <c r="U75" s="1131"/>
      <c r="V75" s="1139"/>
      <c r="W75" s="1140"/>
      <c r="X75" s="1122"/>
      <c r="Y75" s="1141"/>
      <c r="Z75" s="1142"/>
      <c r="AA75" s="1137"/>
      <c r="AB75" s="1138"/>
      <c r="AC75" s="1139"/>
      <c r="AD75" s="1131"/>
      <c r="AE75" s="1139"/>
      <c r="AF75" s="1131"/>
      <c r="AG75" s="1139"/>
      <c r="AH75" s="1140"/>
      <c r="AI75" s="1122"/>
      <c r="AJ75" s="1144">
        <f t="shared" si="50"/>
        <v>0</v>
      </c>
      <c r="AK75" s="1145">
        <f t="shared" si="51"/>
        <v>0</v>
      </c>
      <c r="AL75" s="1146">
        <f t="shared" si="52"/>
        <v>0</v>
      </c>
    </row>
    <row r="76" spans="1:38" ht="20.25" thickTop="1" thickBot="1">
      <c r="A76" s="1188"/>
      <c r="B76" s="1189"/>
      <c r="C76" s="1190"/>
      <c r="D76" s="1189"/>
      <c r="E76" s="1191" t="s">
        <v>468</v>
      </c>
      <c r="F76" s="1192"/>
      <c r="G76" s="1192"/>
      <c r="H76" s="1192"/>
      <c r="I76" s="1192"/>
      <c r="J76" s="1192"/>
      <c r="K76" s="1193"/>
      <c r="L76" s="1194">
        <f>SUM(L55:L75)</f>
        <v>3.5158499999999995</v>
      </c>
      <c r="M76" s="1189"/>
      <c r="N76" s="1194">
        <f>SUM(N55:N75)</f>
        <v>23.439</v>
      </c>
      <c r="O76" s="1195"/>
      <c r="P76" s="1196"/>
      <c r="Q76" s="1188"/>
      <c r="R76" s="1197"/>
      <c r="S76" s="1198"/>
      <c r="T76" s="1199"/>
      <c r="U76" s="1200"/>
      <c r="V76" s="1199"/>
      <c r="W76" s="1201"/>
      <c r="X76" s="1202"/>
      <c r="Y76" s="1203"/>
      <c r="Z76" s="1204"/>
      <c r="AA76" s="1197"/>
      <c r="AB76" s="1198"/>
      <c r="AC76" s="1199"/>
      <c r="AD76" s="1200"/>
      <c r="AE76" s="1199"/>
      <c r="AF76" s="1200"/>
      <c r="AG76" s="1199"/>
      <c r="AH76" s="1201"/>
      <c r="AI76" s="1202"/>
      <c r="AJ76" s="1205">
        <f>SUM(AJ55:AJ75)</f>
        <v>0</v>
      </c>
      <c r="AK76" s="1205">
        <f t="shared" ref="AK76:AL76" si="55">SUM(AK55:AK75)</f>
        <v>1195.4068533333334</v>
      </c>
      <c r="AL76" s="1206">
        <f t="shared" si="55"/>
        <v>0</v>
      </c>
    </row>
    <row r="77" spans="1:38" ht="19.5" thickTop="1">
      <c r="A77" s="1136"/>
      <c r="B77" s="1148"/>
      <c r="C77" s="1128"/>
      <c r="D77" s="1127"/>
      <c r="E77" s="1127"/>
      <c r="F77" s="1129"/>
      <c r="G77" s="1129"/>
      <c r="H77" s="1129"/>
      <c r="I77" s="1181"/>
      <c r="J77" s="1131"/>
      <c r="K77" s="1132"/>
      <c r="L77" s="1133"/>
      <c r="M77" s="1127"/>
      <c r="N77" s="1134"/>
      <c r="O77" s="1094"/>
      <c r="P77" s="1182"/>
      <c r="Q77" s="1136"/>
      <c r="R77" s="1137"/>
      <c r="S77" s="1138"/>
      <c r="T77" s="1139"/>
      <c r="U77" s="1131"/>
      <c r="V77" s="1139"/>
      <c r="W77" s="1140"/>
      <c r="X77" s="1122"/>
      <c r="Y77" s="1183"/>
      <c r="Z77" s="1142"/>
      <c r="AA77" s="1137"/>
      <c r="AB77" s="1138"/>
      <c r="AC77" s="1139"/>
      <c r="AD77" s="1131"/>
      <c r="AE77" s="1139"/>
      <c r="AF77" s="1131"/>
      <c r="AG77" s="1139"/>
      <c r="AH77" s="1140"/>
      <c r="AI77" s="1122"/>
      <c r="AJ77" s="1144"/>
      <c r="AK77" s="1145"/>
      <c r="AL77" s="1207"/>
    </row>
    <row r="78" spans="1:38" ht="18.75">
      <c r="A78" s="1136"/>
      <c r="B78" s="1166" t="s">
        <v>1277</v>
      </c>
      <c r="C78" s="1128" t="s">
        <v>387</v>
      </c>
      <c r="D78" s="1127">
        <v>1</v>
      </c>
      <c r="E78" s="1127" t="s">
        <v>1279</v>
      </c>
      <c r="F78" s="1129">
        <v>0.3</v>
      </c>
      <c r="G78" s="1129">
        <v>0.16</v>
      </c>
      <c r="H78" s="1129">
        <v>1.5</v>
      </c>
      <c r="I78" s="1181">
        <v>1</v>
      </c>
      <c r="J78" s="1131">
        <v>8</v>
      </c>
      <c r="K78" s="1132"/>
      <c r="L78" s="1133">
        <f>I78*(((F78*G78*H78)/2)*J78)</f>
        <v>0.28800000000000003</v>
      </c>
      <c r="M78" s="1127" t="s">
        <v>1280</v>
      </c>
      <c r="N78" s="1134">
        <f>I78*(G78*H78*J78)</f>
        <v>1.92</v>
      </c>
      <c r="O78" s="1094"/>
      <c r="P78" s="1182" t="s">
        <v>1281</v>
      </c>
      <c r="Q78" s="1136">
        <v>8</v>
      </c>
      <c r="R78" s="1137"/>
      <c r="S78" s="1138">
        <v>1</v>
      </c>
      <c r="T78" s="1139">
        <f>(H78+0.4)-0.06</f>
        <v>1.8399999999999999</v>
      </c>
      <c r="U78" s="1131">
        <v>2</v>
      </c>
      <c r="V78" s="1139">
        <f>6*Q78/1000</f>
        <v>4.8000000000000001E-2</v>
      </c>
      <c r="W78" s="1140">
        <v>8</v>
      </c>
      <c r="X78" s="1122">
        <f>I78*((((T78)+(V78*U78)*S78)*W78))</f>
        <v>15.488</v>
      </c>
      <c r="Y78" s="1183" t="s">
        <v>1282</v>
      </c>
      <c r="Z78" s="1142">
        <v>13</v>
      </c>
      <c r="AA78" s="1137">
        <v>0.15</v>
      </c>
      <c r="AB78" s="1138">
        <f>($G$19)/AA78+1</f>
        <v>2</v>
      </c>
      <c r="AC78" s="1139">
        <v>3.77</v>
      </c>
      <c r="AD78" s="1131">
        <v>2</v>
      </c>
      <c r="AE78" s="1139">
        <f>6*Z78/1000</f>
        <v>7.8E-2</v>
      </c>
      <c r="AF78" s="1131">
        <v>2</v>
      </c>
      <c r="AG78" s="1143">
        <f t="shared" ref="AG78:AG82" si="56">(40*Z78/1000)*AF78</f>
        <v>1.04</v>
      </c>
      <c r="AH78" s="1140">
        <v>1</v>
      </c>
      <c r="AI78" s="1122">
        <f>$J$11*((((AC78)+(AE78*AD78)+(AG78*AF78))*AH78)*AB78)</f>
        <v>96.096000000000004</v>
      </c>
      <c r="AJ78" s="1144">
        <f t="shared" ref="AJ78:AJ83" si="57">((IF(Q78=$AK$7,X78,0)+(IF(Z78=$AK$7,AI78,0))))*$AK$9</f>
        <v>0</v>
      </c>
      <c r="AK78" s="1145">
        <f t="shared" ref="AK78:AK83" si="58">((IF(Q78=$AL$7,X78,0)+(IF(Z78=$AL$7,AI78,0))))*$AL$9</f>
        <v>100.148048</v>
      </c>
      <c r="AL78" s="1146">
        <f t="shared" ref="AL78:AL83" si="59">((IF(Q78=$AM$7,X78,0)+(IF(Z78=$AM$7,AI78,0))))*$AM$9</f>
        <v>0</v>
      </c>
    </row>
    <row r="79" spans="1:38" ht="18.75">
      <c r="A79" s="1126"/>
      <c r="B79" s="1127"/>
      <c r="C79" s="1128"/>
      <c r="D79" s="1127"/>
      <c r="E79" s="1127" t="s">
        <v>1283</v>
      </c>
      <c r="F79" s="1129">
        <v>1.5</v>
      </c>
      <c r="G79" s="1129">
        <v>0.15</v>
      </c>
      <c r="H79" s="1129">
        <v>2.4</v>
      </c>
      <c r="I79" s="1130">
        <v>1</v>
      </c>
      <c r="J79" s="1131"/>
      <c r="K79" s="1132"/>
      <c r="L79" s="1133">
        <f>I79*(F79*G79*H79)</f>
        <v>0.53999999999999992</v>
      </c>
      <c r="M79" s="1127" t="s">
        <v>1284</v>
      </c>
      <c r="N79" s="1134"/>
      <c r="O79" s="1094"/>
      <c r="P79" s="1135" t="s">
        <v>1285</v>
      </c>
      <c r="Q79" s="1136">
        <v>8</v>
      </c>
      <c r="R79" s="1137">
        <v>0.2</v>
      </c>
      <c r="S79" s="1138">
        <f>(H78/R79+1)</f>
        <v>8.5</v>
      </c>
      <c r="T79" s="1139">
        <f>(F78+G78+0.3)-(0.03*2)</f>
        <v>0.7</v>
      </c>
      <c r="U79" s="1131">
        <v>2</v>
      </c>
      <c r="V79" s="1139">
        <f>6*Q79/1000</f>
        <v>4.8000000000000001E-2</v>
      </c>
      <c r="W79" s="1140">
        <v>8</v>
      </c>
      <c r="X79" s="1122">
        <f>I78*(((((T79)+(V79*U79))*S79)*W79))</f>
        <v>54.127999999999993</v>
      </c>
      <c r="Y79" s="1141" t="s">
        <v>1286</v>
      </c>
      <c r="Z79" s="1142">
        <v>13</v>
      </c>
      <c r="AA79" s="1137">
        <v>0.15</v>
      </c>
      <c r="AB79" s="1138">
        <f>($G$19)/AA79+1</f>
        <v>2</v>
      </c>
      <c r="AC79" s="1139">
        <v>4.12</v>
      </c>
      <c r="AD79" s="1131">
        <v>2</v>
      </c>
      <c r="AE79" s="1139">
        <f>6*Z79/1000</f>
        <v>7.8E-2</v>
      </c>
      <c r="AF79" s="1131">
        <v>2</v>
      </c>
      <c r="AG79" s="1143">
        <f t="shared" si="56"/>
        <v>1.04</v>
      </c>
      <c r="AH79" s="1140">
        <v>1</v>
      </c>
      <c r="AI79" s="1122">
        <f t="shared" ref="AI79:AI80" si="60">$J$11*((((AC79)+(AE79*AD79)+(AG79*AF79))*AH79)*AB79)</f>
        <v>101.696</v>
      </c>
      <c r="AJ79" s="1144">
        <f t="shared" si="57"/>
        <v>0</v>
      </c>
      <c r="AK79" s="1145">
        <f t="shared" si="58"/>
        <v>105.98418133333334</v>
      </c>
      <c r="AL79" s="1146">
        <f t="shared" si="59"/>
        <v>0</v>
      </c>
    </row>
    <row r="80" spans="1:38" ht="18.75">
      <c r="A80" s="1126"/>
      <c r="B80" s="1127"/>
      <c r="C80" s="1128"/>
      <c r="D80" s="1127"/>
      <c r="E80" s="1127" t="s">
        <v>1287</v>
      </c>
      <c r="F80" s="1129">
        <v>1.5</v>
      </c>
      <c r="G80" s="1129">
        <v>0.15</v>
      </c>
      <c r="H80" s="1129">
        <v>1.536</v>
      </c>
      <c r="I80" s="1130">
        <v>1</v>
      </c>
      <c r="J80" s="1131"/>
      <c r="K80" s="1132"/>
      <c r="L80" s="1133">
        <f>I80*(F80*G80*H80)</f>
        <v>0.34559999999999996</v>
      </c>
      <c r="M80" s="1127" t="s">
        <v>1288</v>
      </c>
      <c r="N80" s="1134"/>
      <c r="O80" s="1094"/>
      <c r="P80" s="1135"/>
      <c r="Q80" s="1136"/>
      <c r="R80" s="1137"/>
      <c r="S80" s="1138"/>
      <c r="T80" s="1139"/>
      <c r="U80" s="1131"/>
      <c r="V80" s="1139"/>
      <c r="W80" s="1140"/>
      <c r="X80" s="1122"/>
      <c r="Y80" s="1141" t="s">
        <v>1289</v>
      </c>
      <c r="Z80" s="1142">
        <v>13</v>
      </c>
      <c r="AA80" s="1137">
        <v>0.15</v>
      </c>
      <c r="AB80" s="1138">
        <f>($G$19)/AA80+1</f>
        <v>2</v>
      </c>
      <c r="AC80" s="1139">
        <v>1.37</v>
      </c>
      <c r="AD80" s="1131">
        <v>2</v>
      </c>
      <c r="AE80" s="1139">
        <f>6*Z80/1000</f>
        <v>7.8E-2</v>
      </c>
      <c r="AF80" s="1131">
        <v>2</v>
      </c>
      <c r="AG80" s="1143">
        <f t="shared" si="56"/>
        <v>1.04</v>
      </c>
      <c r="AH80" s="1140">
        <v>1</v>
      </c>
      <c r="AI80" s="1122">
        <f t="shared" si="60"/>
        <v>57.695999999999998</v>
      </c>
      <c r="AJ80" s="1144">
        <f t="shared" si="57"/>
        <v>0</v>
      </c>
      <c r="AK80" s="1145">
        <f t="shared" si="58"/>
        <v>60.128847999999998</v>
      </c>
      <c r="AL80" s="1146">
        <f t="shared" si="59"/>
        <v>0</v>
      </c>
    </row>
    <row r="81" spans="1:38" ht="18.75">
      <c r="A81" s="1126"/>
      <c r="B81" s="1127"/>
      <c r="C81" s="1128"/>
      <c r="D81" s="1127"/>
      <c r="E81" s="1127"/>
      <c r="F81" s="1129"/>
      <c r="G81" s="1129"/>
      <c r="H81" s="1129"/>
      <c r="I81" s="1130"/>
      <c r="J81" s="1131"/>
      <c r="K81" s="1132"/>
      <c r="L81" s="1133"/>
      <c r="M81" s="1127" t="s">
        <v>1290</v>
      </c>
      <c r="N81" s="1134"/>
      <c r="O81" s="1094"/>
      <c r="P81" s="1135"/>
      <c r="Q81" s="1136"/>
      <c r="R81" s="1137"/>
      <c r="S81" s="1138"/>
      <c r="T81" s="1139"/>
      <c r="U81" s="1131"/>
      <c r="V81" s="1139"/>
      <c r="W81" s="1140"/>
      <c r="X81" s="1145"/>
      <c r="Y81" s="1184" t="s">
        <v>1294</v>
      </c>
      <c r="Z81" s="1137">
        <v>13</v>
      </c>
      <c r="AA81" s="1137">
        <v>0.15</v>
      </c>
      <c r="AB81" s="1138">
        <f>($G$19)/AA81+1</f>
        <v>2</v>
      </c>
      <c r="AC81" s="1139">
        <v>1.74</v>
      </c>
      <c r="AD81" s="1131">
        <v>2</v>
      </c>
      <c r="AE81" s="1139">
        <f t="shared" ref="AE81:AE82" si="61">6*Z81/1000</f>
        <v>7.8E-2</v>
      </c>
      <c r="AF81" s="1131">
        <v>2</v>
      </c>
      <c r="AG81" s="1143">
        <f t="shared" si="56"/>
        <v>1.04</v>
      </c>
      <c r="AH81" s="1140">
        <v>2</v>
      </c>
      <c r="AI81" s="1122">
        <f>$J$11*((((AC81)+(AE81*AD81)+(AG81*AF81))*AH81)*AB81)</f>
        <v>127.232</v>
      </c>
      <c r="AJ81" s="1144">
        <f t="shared" si="57"/>
        <v>0</v>
      </c>
      <c r="AK81" s="1145">
        <f t="shared" si="58"/>
        <v>132.59694933333333</v>
      </c>
      <c r="AL81" s="1146">
        <f t="shared" si="59"/>
        <v>0</v>
      </c>
    </row>
    <row r="82" spans="1:38" ht="18.75">
      <c r="A82" s="1126"/>
      <c r="B82" s="1127"/>
      <c r="C82" s="1128"/>
      <c r="D82" s="1127"/>
      <c r="E82" s="1127"/>
      <c r="F82" s="1129"/>
      <c r="G82" s="1129"/>
      <c r="H82" s="1129"/>
      <c r="I82" s="1130"/>
      <c r="J82" s="1131"/>
      <c r="K82" s="1132"/>
      <c r="L82" s="1133"/>
      <c r="M82" s="1127" t="s">
        <v>1292</v>
      </c>
      <c r="N82" s="1134">
        <f>I79*(F79*H79)</f>
        <v>3.5999999999999996</v>
      </c>
      <c r="O82" s="1094"/>
      <c r="P82" s="1135"/>
      <c r="Q82" s="1136"/>
      <c r="R82" s="1137"/>
      <c r="S82" s="1138"/>
      <c r="T82" s="1139"/>
      <c r="U82" s="1131"/>
      <c r="V82" s="1139"/>
      <c r="W82" s="1140"/>
      <c r="X82" s="1122"/>
      <c r="Y82" s="1141" t="s">
        <v>1291</v>
      </c>
      <c r="Z82" s="1142">
        <v>8</v>
      </c>
      <c r="AA82" s="1137">
        <v>0.15</v>
      </c>
      <c r="AB82" s="1138">
        <f>(H79)/AA82+1</f>
        <v>17</v>
      </c>
      <c r="AC82" s="1139">
        <f>(F79+0.3)-0.06</f>
        <v>1.74</v>
      </c>
      <c r="AD82" s="1131">
        <v>2</v>
      </c>
      <c r="AE82" s="1139">
        <f t="shared" si="61"/>
        <v>4.8000000000000001E-2</v>
      </c>
      <c r="AF82" s="1131">
        <v>0</v>
      </c>
      <c r="AG82" s="1143">
        <f t="shared" si="56"/>
        <v>0</v>
      </c>
      <c r="AH82" s="1140">
        <v>2</v>
      </c>
      <c r="AI82" s="1122">
        <f>$J$11*((((AC82)+(AE82*AD82)+(AG82*AF82))*AH82)*AB82)</f>
        <v>499.392</v>
      </c>
      <c r="AJ82" s="1144">
        <f t="shared" si="57"/>
        <v>0</v>
      </c>
      <c r="AK82" s="1145">
        <f t="shared" si="58"/>
        <v>0</v>
      </c>
      <c r="AL82" s="1146">
        <f t="shared" si="59"/>
        <v>0</v>
      </c>
    </row>
    <row r="83" spans="1:38" ht="18.75">
      <c r="A83" s="1126"/>
      <c r="B83" s="1127"/>
      <c r="C83" s="1128"/>
      <c r="D83" s="1127"/>
      <c r="E83" s="1127"/>
      <c r="F83" s="1129"/>
      <c r="G83" s="1129"/>
      <c r="H83" s="1129"/>
      <c r="I83" s="1130"/>
      <c r="J83" s="1131"/>
      <c r="K83" s="1132"/>
      <c r="L83" s="1133"/>
      <c r="M83" s="1127" t="s">
        <v>1293</v>
      </c>
      <c r="N83" s="1134">
        <f>I80*(F80*H80)</f>
        <v>2.3040000000000003</v>
      </c>
      <c r="O83" s="1094"/>
      <c r="P83" s="1135"/>
      <c r="Q83" s="1136"/>
      <c r="R83" s="1137"/>
      <c r="S83" s="1138"/>
      <c r="T83" s="1139"/>
      <c r="U83" s="1131"/>
      <c r="V83" s="1139"/>
      <c r="W83" s="1140"/>
      <c r="X83" s="1122"/>
      <c r="Y83" s="1141"/>
      <c r="Z83" s="1142"/>
      <c r="AA83" s="1137"/>
      <c r="AB83" s="1138"/>
      <c r="AC83" s="1139"/>
      <c r="AD83" s="1131"/>
      <c r="AE83" s="1139"/>
      <c r="AF83" s="1131"/>
      <c r="AG83" s="1139"/>
      <c r="AH83" s="1140"/>
      <c r="AI83" s="1122"/>
      <c r="AJ83" s="1144">
        <f t="shared" si="57"/>
        <v>0</v>
      </c>
      <c r="AK83" s="1145">
        <f t="shared" si="58"/>
        <v>0</v>
      </c>
      <c r="AL83" s="1146">
        <f t="shared" si="59"/>
        <v>0</v>
      </c>
    </row>
    <row r="84" spans="1:38" ht="18.75">
      <c r="A84" s="1126"/>
      <c r="B84" s="1127"/>
      <c r="C84" s="1128"/>
      <c r="D84" s="1127"/>
      <c r="E84" s="1127"/>
      <c r="F84" s="1168"/>
      <c r="G84" s="1168"/>
      <c r="H84" s="1168"/>
      <c r="I84" s="1130"/>
      <c r="J84" s="1169"/>
      <c r="K84" s="1132"/>
      <c r="L84" s="1133"/>
      <c r="M84" s="1127"/>
      <c r="N84" s="1134"/>
      <c r="O84" s="1094"/>
      <c r="P84" s="1135"/>
      <c r="Q84" s="1136"/>
      <c r="R84" s="1137"/>
      <c r="S84" s="1138"/>
      <c r="T84" s="1139"/>
      <c r="U84" s="1131"/>
      <c r="V84" s="1139"/>
      <c r="W84" s="1140"/>
      <c r="X84" s="1122"/>
      <c r="Y84" s="1141"/>
      <c r="Z84" s="1142"/>
      <c r="AA84" s="1137"/>
      <c r="AB84" s="1138"/>
      <c r="AC84" s="1139"/>
      <c r="AD84" s="1131"/>
      <c r="AE84" s="1139"/>
      <c r="AF84" s="1131"/>
      <c r="AG84" s="1139"/>
      <c r="AH84" s="1140"/>
      <c r="AI84" s="1122"/>
      <c r="AJ84" s="1144"/>
      <c r="AK84" s="1145"/>
      <c r="AL84" s="1146"/>
    </row>
    <row r="85" spans="1:38" ht="18.75">
      <c r="A85" s="1136"/>
      <c r="B85" s="1166"/>
      <c r="C85" s="1128"/>
      <c r="D85" s="1127">
        <v>2</v>
      </c>
      <c r="E85" s="1127" t="s">
        <v>1279</v>
      </c>
      <c r="F85" s="1129">
        <v>0.3</v>
      </c>
      <c r="G85" s="1129">
        <v>0.16</v>
      </c>
      <c r="H85" s="1129">
        <v>1.5</v>
      </c>
      <c r="I85" s="1181">
        <v>1</v>
      </c>
      <c r="J85" s="1131">
        <v>9</v>
      </c>
      <c r="K85" s="1132"/>
      <c r="L85" s="1133">
        <f>I85*(((F85*G85*H85)/2)*J85)</f>
        <v>0.32400000000000007</v>
      </c>
      <c r="M85" s="1127" t="s">
        <v>1280</v>
      </c>
      <c r="N85" s="1134">
        <f>I85*(G85*H85*J85)</f>
        <v>2.16</v>
      </c>
      <c r="O85" s="1094"/>
      <c r="P85" s="1182" t="s">
        <v>1281</v>
      </c>
      <c r="Q85" s="1136">
        <v>8</v>
      </c>
      <c r="R85" s="1137"/>
      <c r="S85" s="1138">
        <v>1</v>
      </c>
      <c r="T85" s="1139">
        <f>(H85+0.4)-0.06</f>
        <v>1.8399999999999999</v>
      </c>
      <c r="U85" s="1131">
        <v>2</v>
      </c>
      <c r="V85" s="1139">
        <f>6*Q85/1000</f>
        <v>4.8000000000000001E-2</v>
      </c>
      <c r="W85" s="1140">
        <v>9</v>
      </c>
      <c r="X85" s="1122">
        <f>I85*((((T85)+(V85*U85)*S85)*W85))</f>
        <v>17.423999999999999</v>
      </c>
      <c r="Y85" s="1183" t="s">
        <v>1282</v>
      </c>
      <c r="Z85" s="1142">
        <v>13</v>
      </c>
      <c r="AA85" s="1137">
        <v>0.15</v>
      </c>
      <c r="AB85" s="1138">
        <f>($G$19)/AA85+1</f>
        <v>2</v>
      </c>
      <c r="AC85" s="1139">
        <f>1.5+3.06</f>
        <v>4.5600000000000005</v>
      </c>
      <c r="AD85" s="1131">
        <v>2</v>
      </c>
      <c r="AE85" s="1139">
        <f>6*Z85/1000</f>
        <v>7.8E-2</v>
      </c>
      <c r="AF85" s="1131">
        <v>2</v>
      </c>
      <c r="AG85" s="1143">
        <f t="shared" ref="AG85:AG89" si="62">(40*Z85/1000)*AF85</f>
        <v>1.04</v>
      </c>
      <c r="AH85" s="1140">
        <v>1</v>
      </c>
      <c r="AI85" s="1122">
        <f>$J$11*((((AC85)+(AE85*AD85)+(AG85*AF85))*AH85)*AB85)</f>
        <v>108.736</v>
      </c>
      <c r="AJ85" s="1144">
        <f t="shared" ref="AJ85:AJ90" si="63">((IF(Q85=$AK$7,X85,0)+(IF(Z85=$AK$7,AI85,0))))*$AK$9</f>
        <v>0</v>
      </c>
      <c r="AK85" s="1145">
        <f t="shared" ref="AK85:AK90" si="64">((IF(Q85=$AL$7,X85,0)+(IF(Z85=$AL$7,AI85,0))))*$AL$9</f>
        <v>113.32103466666668</v>
      </c>
      <c r="AL85" s="1146">
        <f t="shared" ref="AL85:AL90" si="65">((IF(Q85=$AM$7,X85,0)+(IF(Z85=$AM$7,AI85,0))))*$AM$9</f>
        <v>0</v>
      </c>
    </row>
    <row r="86" spans="1:38" ht="18.75">
      <c r="A86" s="1126"/>
      <c r="B86" s="1127"/>
      <c r="C86" s="1128"/>
      <c r="D86" s="1127"/>
      <c r="E86" s="1127" t="s">
        <v>1283</v>
      </c>
      <c r="F86" s="1129">
        <v>1.5</v>
      </c>
      <c r="G86" s="1129">
        <v>0.15</v>
      </c>
      <c r="H86" s="1129">
        <f>0.34*9</f>
        <v>3.06</v>
      </c>
      <c r="I86" s="1130">
        <v>1</v>
      </c>
      <c r="J86" s="1131"/>
      <c r="K86" s="1132"/>
      <c r="L86" s="1133">
        <f>I86*(F86*G86*H86)</f>
        <v>0.68849999999999989</v>
      </c>
      <c r="M86" s="1127" t="s">
        <v>1284</v>
      </c>
      <c r="N86" s="1134"/>
      <c r="O86" s="1094"/>
      <c r="P86" s="1135" t="s">
        <v>1285</v>
      </c>
      <c r="Q86" s="1136">
        <v>8</v>
      </c>
      <c r="R86" s="1137">
        <v>0.2</v>
      </c>
      <c r="S86" s="1138">
        <f>(H85/R86+1)</f>
        <v>8.5</v>
      </c>
      <c r="T86" s="1139">
        <f>(F85+G85+0.3)-(0.03*2)</f>
        <v>0.7</v>
      </c>
      <c r="U86" s="1131">
        <v>2</v>
      </c>
      <c r="V86" s="1139">
        <f>6*Q86/1000</f>
        <v>4.8000000000000001E-2</v>
      </c>
      <c r="W86" s="1140">
        <v>9</v>
      </c>
      <c r="X86" s="1122">
        <f>I85*(((((T86)+(V86*U86))*S86)*W86))</f>
        <v>60.893999999999991</v>
      </c>
      <c r="Y86" s="1141" t="s">
        <v>1286</v>
      </c>
      <c r="Z86" s="1142">
        <v>13</v>
      </c>
      <c r="AA86" s="1137">
        <v>0.15</v>
      </c>
      <c r="AB86" s="1138">
        <f>($G$19)/AA86+1</f>
        <v>2</v>
      </c>
      <c r="AC86" s="1139">
        <f>1.5+3.06</f>
        <v>4.5600000000000005</v>
      </c>
      <c r="AD86" s="1131">
        <v>2</v>
      </c>
      <c r="AE86" s="1139">
        <f>6*Z86/1000</f>
        <v>7.8E-2</v>
      </c>
      <c r="AF86" s="1131">
        <v>2</v>
      </c>
      <c r="AG86" s="1143">
        <f t="shared" si="62"/>
        <v>1.04</v>
      </c>
      <c r="AH86" s="1140">
        <v>1</v>
      </c>
      <c r="AI86" s="1122">
        <f t="shared" ref="AI86:AI87" si="66">$J$11*((((AC86)+(AE86*AD86)+(AG86*AF86))*AH86)*AB86)</f>
        <v>108.736</v>
      </c>
      <c r="AJ86" s="1144">
        <f t="shared" si="63"/>
        <v>0</v>
      </c>
      <c r="AK86" s="1145">
        <f t="shared" si="64"/>
        <v>113.32103466666668</v>
      </c>
      <c r="AL86" s="1146">
        <f t="shared" si="65"/>
        <v>0</v>
      </c>
    </row>
    <row r="87" spans="1:38" ht="18.75">
      <c r="A87" s="1126"/>
      <c r="B87" s="1127"/>
      <c r="C87" s="1128"/>
      <c r="D87" s="1127"/>
      <c r="E87" s="1127" t="s">
        <v>1287</v>
      </c>
      <c r="F87" s="1129">
        <v>1.5</v>
      </c>
      <c r="G87" s="1129">
        <v>0.15</v>
      </c>
      <c r="H87" s="1129">
        <v>1.91</v>
      </c>
      <c r="I87" s="1130">
        <v>1</v>
      </c>
      <c r="J87" s="1131"/>
      <c r="K87" s="1132"/>
      <c r="L87" s="1133">
        <f>I87*(F87*G87*H87)</f>
        <v>0.42974999999999997</v>
      </c>
      <c r="M87" s="1127" t="s">
        <v>1288</v>
      </c>
      <c r="N87" s="1134"/>
      <c r="O87" s="1094"/>
      <c r="P87" s="1135"/>
      <c r="Q87" s="1136"/>
      <c r="R87" s="1137"/>
      <c r="S87" s="1138"/>
      <c r="T87" s="1139"/>
      <c r="U87" s="1131"/>
      <c r="V87" s="1139"/>
      <c r="W87" s="1140"/>
      <c r="X87" s="1122"/>
      <c r="Y87" s="1141" t="s">
        <v>1289</v>
      </c>
      <c r="Z87" s="1142">
        <v>13</v>
      </c>
      <c r="AA87" s="1137">
        <v>0.15</v>
      </c>
      <c r="AB87" s="1138">
        <f>($G$19)/AA87+1</f>
        <v>2</v>
      </c>
      <c r="AC87" s="1139">
        <v>1.5</v>
      </c>
      <c r="AD87" s="1131">
        <v>2</v>
      </c>
      <c r="AE87" s="1139">
        <f>6*Z87/1000</f>
        <v>7.8E-2</v>
      </c>
      <c r="AF87" s="1131">
        <v>2</v>
      </c>
      <c r="AG87" s="1143">
        <f t="shared" si="62"/>
        <v>1.04</v>
      </c>
      <c r="AH87" s="1140">
        <v>1</v>
      </c>
      <c r="AI87" s="1122">
        <f t="shared" si="66"/>
        <v>59.775999999999996</v>
      </c>
      <c r="AJ87" s="1144">
        <f t="shared" si="63"/>
        <v>0</v>
      </c>
      <c r="AK87" s="1145">
        <f t="shared" si="64"/>
        <v>62.296554666666665</v>
      </c>
      <c r="AL87" s="1146">
        <f t="shared" si="65"/>
        <v>0</v>
      </c>
    </row>
    <row r="88" spans="1:38" ht="18.75">
      <c r="A88" s="1126"/>
      <c r="B88" s="1127"/>
      <c r="C88" s="1128"/>
      <c r="D88" s="1127"/>
      <c r="E88" s="1127"/>
      <c r="F88" s="1129"/>
      <c r="G88" s="1129"/>
      <c r="H88" s="1129"/>
      <c r="I88" s="1130"/>
      <c r="J88" s="1131"/>
      <c r="K88" s="1132"/>
      <c r="L88" s="1133"/>
      <c r="M88" s="1127" t="s">
        <v>1290</v>
      </c>
      <c r="N88" s="1134"/>
      <c r="O88" s="1094"/>
      <c r="P88" s="1135"/>
      <c r="Q88" s="1136"/>
      <c r="R88" s="1137"/>
      <c r="S88" s="1138"/>
      <c r="T88" s="1139"/>
      <c r="U88" s="1131"/>
      <c r="V88" s="1139"/>
      <c r="W88" s="1140"/>
      <c r="X88" s="1145"/>
      <c r="Y88" s="1184" t="s">
        <v>1294</v>
      </c>
      <c r="Z88" s="1137">
        <v>13</v>
      </c>
      <c r="AA88" s="1137">
        <v>0.15</v>
      </c>
      <c r="AB88" s="1138">
        <f>($G$19)/AA88+1</f>
        <v>2</v>
      </c>
      <c r="AC88" s="1139">
        <v>1.5</v>
      </c>
      <c r="AD88" s="1131">
        <v>2</v>
      </c>
      <c r="AE88" s="1139">
        <f t="shared" ref="AE88:AE89" si="67">6*Z88/1000</f>
        <v>7.8E-2</v>
      </c>
      <c r="AF88" s="1131">
        <v>2</v>
      </c>
      <c r="AG88" s="1143">
        <f t="shared" si="62"/>
        <v>1.04</v>
      </c>
      <c r="AH88" s="1140">
        <v>2</v>
      </c>
      <c r="AI88" s="1122">
        <f>$J$11*((((AC88)+(AE88*AD88)+(AG88*AF88))*AH88)*AB88)</f>
        <v>119.55199999999999</v>
      </c>
      <c r="AJ88" s="1144">
        <f t="shared" si="63"/>
        <v>0</v>
      </c>
      <c r="AK88" s="1145">
        <f t="shared" si="64"/>
        <v>124.59310933333333</v>
      </c>
      <c r="AL88" s="1146">
        <f t="shared" si="65"/>
        <v>0</v>
      </c>
    </row>
    <row r="89" spans="1:38" ht="18.75">
      <c r="A89" s="1126"/>
      <c r="B89" s="1127"/>
      <c r="C89" s="1128"/>
      <c r="D89" s="1127"/>
      <c r="E89" s="1127"/>
      <c r="F89" s="1129"/>
      <c r="G89" s="1129"/>
      <c r="H89" s="1129"/>
      <c r="I89" s="1130"/>
      <c r="J89" s="1131"/>
      <c r="K89" s="1132"/>
      <c r="L89" s="1133"/>
      <c r="M89" s="1127" t="s">
        <v>1292</v>
      </c>
      <c r="N89" s="1134">
        <f>I86*(F86*H86)</f>
        <v>4.59</v>
      </c>
      <c r="O89" s="1094"/>
      <c r="P89" s="1135"/>
      <c r="Q89" s="1136"/>
      <c r="R89" s="1137"/>
      <c r="S89" s="1138"/>
      <c r="T89" s="1139"/>
      <c r="U89" s="1131"/>
      <c r="V89" s="1139"/>
      <c r="W89" s="1140"/>
      <c r="X89" s="1122"/>
      <c r="Y89" s="1141" t="s">
        <v>1291</v>
      </c>
      <c r="Z89" s="1142">
        <v>8</v>
      </c>
      <c r="AA89" s="1137">
        <v>0.15</v>
      </c>
      <c r="AB89" s="1138">
        <f>(H86)/AA89+1</f>
        <v>21.400000000000002</v>
      </c>
      <c r="AC89" s="1139">
        <f>(F86+0.3)-0.06</f>
        <v>1.74</v>
      </c>
      <c r="AD89" s="1131">
        <v>2</v>
      </c>
      <c r="AE89" s="1139">
        <f t="shared" si="67"/>
        <v>4.8000000000000001E-2</v>
      </c>
      <c r="AF89" s="1131">
        <v>0</v>
      </c>
      <c r="AG89" s="1143">
        <f t="shared" si="62"/>
        <v>0</v>
      </c>
      <c r="AH89" s="1140">
        <v>2</v>
      </c>
      <c r="AI89" s="1122">
        <f>$J$11*((((AC89)+(AE89*AD89)+(AG89*AF89))*AH89)*AB89)</f>
        <v>628.64640000000009</v>
      </c>
      <c r="AJ89" s="1144">
        <f t="shared" si="63"/>
        <v>0</v>
      </c>
      <c r="AK89" s="1145">
        <f t="shared" si="64"/>
        <v>0</v>
      </c>
      <c r="AL89" s="1146">
        <f t="shared" si="65"/>
        <v>0</v>
      </c>
    </row>
    <row r="90" spans="1:38" ht="18.75">
      <c r="A90" s="1126"/>
      <c r="B90" s="1127"/>
      <c r="C90" s="1128"/>
      <c r="D90" s="1127"/>
      <c r="E90" s="1127"/>
      <c r="F90" s="1129"/>
      <c r="G90" s="1129"/>
      <c r="H90" s="1129"/>
      <c r="I90" s="1130"/>
      <c r="J90" s="1131"/>
      <c r="K90" s="1132"/>
      <c r="L90" s="1133"/>
      <c r="M90" s="1127" t="s">
        <v>1293</v>
      </c>
      <c r="N90" s="1134">
        <f>I87*(F87*H87)</f>
        <v>2.8649999999999998</v>
      </c>
      <c r="O90" s="1094"/>
      <c r="P90" s="1135"/>
      <c r="Q90" s="1136"/>
      <c r="R90" s="1137"/>
      <c r="S90" s="1138"/>
      <c r="T90" s="1139"/>
      <c r="U90" s="1131"/>
      <c r="V90" s="1139"/>
      <c r="W90" s="1140"/>
      <c r="X90" s="1122"/>
      <c r="Y90" s="1141"/>
      <c r="Z90" s="1142"/>
      <c r="AA90" s="1137"/>
      <c r="AB90" s="1138"/>
      <c r="AC90" s="1139"/>
      <c r="AD90" s="1131"/>
      <c r="AE90" s="1139"/>
      <c r="AF90" s="1131"/>
      <c r="AG90" s="1139"/>
      <c r="AH90" s="1140"/>
      <c r="AI90" s="1122"/>
      <c r="AJ90" s="1144">
        <f t="shared" si="63"/>
        <v>0</v>
      </c>
      <c r="AK90" s="1145">
        <f t="shared" si="64"/>
        <v>0</v>
      </c>
      <c r="AL90" s="1146">
        <f t="shared" si="65"/>
        <v>0</v>
      </c>
    </row>
    <row r="91" spans="1:38" ht="18.75">
      <c r="A91" s="1126"/>
      <c r="B91" s="1127"/>
      <c r="C91" s="1128"/>
      <c r="D91" s="1127"/>
      <c r="E91" s="1127"/>
      <c r="F91" s="1168"/>
      <c r="G91" s="1168"/>
      <c r="H91" s="1168"/>
      <c r="I91" s="1130"/>
      <c r="J91" s="1169"/>
      <c r="K91" s="1132"/>
      <c r="L91" s="1133"/>
      <c r="M91" s="1127"/>
      <c r="N91" s="1134"/>
      <c r="O91" s="1094"/>
      <c r="P91" s="1135"/>
      <c r="Q91" s="1136"/>
      <c r="R91" s="1137"/>
      <c r="S91" s="1138"/>
      <c r="T91" s="1139"/>
      <c r="U91" s="1131"/>
      <c r="V91" s="1139"/>
      <c r="W91" s="1140"/>
      <c r="X91" s="1122"/>
      <c r="Y91" s="1141"/>
      <c r="Z91" s="1142"/>
      <c r="AA91" s="1137"/>
      <c r="AB91" s="1138"/>
      <c r="AC91" s="1139"/>
      <c r="AD91" s="1131"/>
      <c r="AE91" s="1139"/>
      <c r="AF91" s="1131"/>
      <c r="AG91" s="1139"/>
      <c r="AH91" s="1140"/>
      <c r="AI91" s="1122"/>
      <c r="AJ91" s="1144"/>
      <c r="AK91" s="1145"/>
      <c r="AL91" s="1146"/>
    </row>
    <row r="92" spans="1:38" ht="18.75">
      <c r="A92" s="1136"/>
      <c r="B92" s="1166"/>
      <c r="C92" s="1128"/>
      <c r="D92" s="1127">
        <v>3</v>
      </c>
      <c r="E92" s="1127" t="s">
        <v>1279</v>
      </c>
      <c r="F92" s="1129">
        <v>0.3</v>
      </c>
      <c r="G92" s="1129">
        <v>0.16</v>
      </c>
      <c r="H92" s="1129">
        <v>1.5</v>
      </c>
      <c r="I92" s="1181">
        <v>1</v>
      </c>
      <c r="J92" s="1131">
        <v>8</v>
      </c>
      <c r="K92" s="1132"/>
      <c r="L92" s="1133">
        <f>I92*(((F92*G92*H92)/2)*J92)</f>
        <v>0.28800000000000003</v>
      </c>
      <c r="M92" s="1127" t="s">
        <v>1280</v>
      </c>
      <c r="N92" s="1134">
        <f>I92*(G92*H92*J92)</f>
        <v>1.92</v>
      </c>
      <c r="O92" s="1094"/>
      <c r="P92" s="1182" t="s">
        <v>1281</v>
      </c>
      <c r="Q92" s="1136">
        <v>8</v>
      </c>
      <c r="R92" s="1137"/>
      <c r="S92" s="1138">
        <v>1</v>
      </c>
      <c r="T92" s="1139">
        <f>(H92+0.4)-0.06</f>
        <v>1.8399999999999999</v>
      </c>
      <c r="U92" s="1131">
        <v>2</v>
      </c>
      <c r="V92" s="1139">
        <f>6*Q92/1000</f>
        <v>4.8000000000000001E-2</v>
      </c>
      <c r="W92" s="1140">
        <v>8</v>
      </c>
      <c r="X92" s="1122">
        <f>I92*((((T92)+(V92*U92)*S92)*W92))</f>
        <v>15.488</v>
      </c>
      <c r="Y92" s="1183" t="s">
        <v>1282</v>
      </c>
      <c r="Z92" s="1142">
        <v>13</v>
      </c>
      <c r="AA92" s="1137">
        <v>0.15</v>
      </c>
      <c r="AB92" s="1138">
        <f>($G$19)/AA92+1</f>
        <v>2</v>
      </c>
      <c r="AC92" s="1139">
        <v>4.83</v>
      </c>
      <c r="AD92" s="1131">
        <v>2</v>
      </c>
      <c r="AE92" s="1139">
        <f>6*Z92/1000</f>
        <v>7.8E-2</v>
      </c>
      <c r="AF92" s="1131">
        <v>2</v>
      </c>
      <c r="AG92" s="1143">
        <f t="shared" ref="AG92:AG96" si="68">(40*Z92/1000)*AF92</f>
        <v>1.04</v>
      </c>
      <c r="AH92" s="1140">
        <v>1</v>
      </c>
      <c r="AI92" s="1122">
        <f>$J$11*((((AC92)+(AE92*AD92)+(AG92*AF92))*AH92)*AB92)</f>
        <v>113.056</v>
      </c>
      <c r="AJ92" s="1144">
        <f t="shared" ref="AJ92:AJ97" si="69">((IF(Q92=$AK$7,X92,0)+(IF(Z92=$AK$7,AI92,0))))*$AK$9</f>
        <v>0</v>
      </c>
      <c r="AK92" s="1145">
        <f t="shared" ref="AK92:AK97" si="70">((IF(Q92=$AL$7,X92,0)+(IF(Z92=$AL$7,AI92,0))))*$AL$9</f>
        <v>117.82319466666667</v>
      </c>
      <c r="AL92" s="1146">
        <f t="shared" ref="AL92:AL97" si="71">((IF(Q92=$AM$7,X92,0)+(IF(Z92=$AM$7,AI92,0))))*$AM$9</f>
        <v>0</v>
      </c>
    </row>
    <row r="93" spans="1:38" ht="18.75">
      <c r="A93" s="1126"/>
      <c r="B93" s="1127"/>
      <c r="C93" s="1128"/>
      <c r="D93" s="1127"/>
      <c r="E93" s="1127" t="s">
        <v>1283</v>
      </c>
      <c r="F93" s="1129">
        <v>1.5</v>
      </c>
      <c r="G93" s="1129">
        <v>0.15</v>
      </c>
      <c r="H93" s="1129">
        <v>2.72</v>
      </c>
      <c r="I93" s="1130">
        <v>1</v>
      </c>
      <c r="J93" s="1131"/>
      <c r="K93" s="1132"/>
      <c r="L93" s="1133">
        <f>I93*(F93*G93*H93)</f>
        <v>0.61199999999999999</v>
      </c>
      <c r="M93" s="1127" t="s">
        <v>1284</v>
      </c>
      <c r="N93" s="1134"/>
      <c r="O93" s="1094"/>
      <c r="P93" s="1135" t="s">
        <v>1285</v>
      </c>
      <c r="Q93" s="1136">
        <v>8</v>
      </c>
      <c r="R93" s="1137">
        <v>0.2</v>
      </c>
      <c r="S93" s="1138">
        <f>(H92/R93+1)</f>
        <v>8.5</v>
      </c>
      <c r="T93" s="1139">
        <f>(F92+G92+0.3)-(0.03*2)</f>
        <v>0.7</v>
      </c>
      <c r="U93" s="1131">
        <v>2</v>
      </c>
      <c r="V93" s="1139">
        <f>6*Q93/1000</f>
        <v>4.8000000000000001E-2</v>
      </c>
      <c r="W93" s="1140">
        <v>8</v>
      </c>
      <c r="X93" s="1122">
        <f>I92*(((((T93)+(V93*U93))*S93)*W93))</f>
        <v>54.127999999999993</v>
      </c>
      <c r="Y93" s="1141" t="s">
        <v>1286</v>
      </c>
      <c r="Z93" s="1142">
        <v>13</v>
      </c>
      <c r="AA93" s="1137">
        <v>0.15</v>
      </c>
      <c r="AB93" s="1138">
        <f>($G$19)/AA93+1</f>
        <v>2</v>
      </c>
      <c r="AC93" s="1139">
        <f>0.71+2.72</f>
        <v>3.43</v>
      </c>
      <c r="AD93" s="1131">
        <v>2</v>
      </c>
      <c r="AE93" s="1139">
        <f>6*Z93/1000</f>
        <v>7.8E-2</v>
      </c>
      <c r="AF93" s="1131">
        <v>2</v>
      </c>
      <c r="AG93" s="1143">
        <f t="shared" si="68"/>
        <v>1.04</v>
      </c>
      <c r="AH93" s="1140">
        <v>1</v>
      </c>
      <c r="AI93" s="1122">
        <f t="shared" ref="AI93:AI94" si="72">$J$11*((((AC93)+(AE93*AD93)+(AG93*AF93))*AH93)*AB93)</f>
        <v>90.656000000000006</v>
      </c>
      <c r="AJ93" s="1144">
        <f t="shared" si="69"/>
        <v>0</v>
      </c>
      <c r="AK93" s="1145">
        <f t="shared" si="70"/>
        <v>94.478661333333335</v>
      </c>
      <c r="AL93" s="1146">
        <f t="shared" si="71"/>
        <v>0</v>
      </c>
    </row>
    <row r="94" spans="1:38" ht="18.75">
      <c r="A94" s="1126"/>
      <c r="B94" s="1127"/>
      <c r="C94" s="1128"/>
      <c r="D94" s="1127"/>
      <c r="E94" s="1127"/>
      <c r="F94" s="1129"/>
      <c r="G94" s="1129"/>
      <c r="H94" s="1129"/>
      <c r="I94" s="1130"/>
      <c r="J94" s="1131"/>
      <c r="K94" s="1132"/>
      <c r="L94" s="1133">
        <f>I94*(F94*G94*H94)</f>
        <v>0</v>
      </c>
      <c r="M94" s="1127" t="s">
        <v>1288</v>
      </c>
      <c r="N94" s="1134"/>
      <c r="O94" s="1094"/>
      <c r="P94" s="1135"/>
      <c r="Q94" s="1136"/>
      <c r="R94" s="1137"/>
      <c r="S94" s="1138"/>
      <c r="T94" s="1139"/>
      <c r="U94" s="1131"/>
      <c r="V94" s="1139"/>
      <c r="W94" s="1140"/>
      <c r="X94" s="1122"/>
      <c r="Y94" s="1141" t="s">
        <v>1289</v>
      </c>
      <c r="Z94" s="1142">
        <v>13</v>
      </c>
      <c r="AA94" s="1137">
        <v>0.15</v>
      </c>
      <c r="AB94" s="1138">
        <f>($G$19)/AA94+1</f>
        <v>2</v>
      </c>
      <c r="AC94" s="1139">
        <v>2.11</v>
      </c>
      <c r="AD94" s="1131">
        <v>2</v>
      </c>
      <c r="AE94" s="1139">
        <f>6*Z94/1000</f>
        <v>7.8E-2</v>
      </c>
      <c r="AF94" s="1131">
        <v>2</v>
      </c>
      <c r="AG94" s="1143">
        <f t="shared" si="68"/>
        <v>1.04</v>
      </c>
      <c r="AH94" s="1140">
        <v>1</v>
      </c>
      <c r="AI94" s="1122">
        <f t="shared" si="72"/>
        <v>69.536000000000001</v>
      </c>
      <c r="AJ94" s="1144">
        <f t="shared" si="69"/>
        <v>0</v>
      </c>
      <c r="AK94" s="1145">
        <f t="shared" si="70"/>
        <v>72.468101333333337</v>
      </c>
      <c r="AL94" s="1146">
        <f t="shared" si="71"/>
        <v>0</v>
      </c>
    </row>
    <row r="95" spans="1:38" ht="18.75">
      <c r="A95" s="1126"/>
      <c r="B95" s="1127"/>
      <c r="C95" s="1128"/>
      <c r="D95" s="1127"/>
      <c r="E95" s="1127"/>
      <c r="F95" s="1129"/>
      <c r="G95" s="1129"/>
      <c r="H95" s="1129"/>
      <c r="I95" s="1130"/>
      <c r="J95" s="1131"/>
      <c r="K95" s="1132"/>
      <c r="L95" s="1133"/>
      <c r="M95" s="1127" t="s">
        <v>1290</v>
      </c>
      <c r="N95" s="1134"/>
      <c r="O95" s="1094"/>
      <c r="P95" s="1135"/>
      <c r="Q95" s="1136"/>
      <c r="R95" s="1137"/>
      <c r="S95" s="1138"/>
      <c r="T95" s="1139"/>
      <c r="U95" s="1131"/>
      <c r="V95" s="1139"/>
      <c r="W95" s="1140"/>
      <c r="X95" s="1145"/>
      <c r="Y95" s="1184" t="s">
        <v>1294</v>
      </c>
      <c r="Z95" s="1137">
        <v>13</v>
      </c>
      <c r="AA95" s="1137">
        <v>0.15</v>
      </c>
      <c r="AB95" s="1138">
        <f>($G$19)/AA95+1</f>
        <v>2</v>
      </c>
      <c r="AC95" s="1139">
        <v>0.71</v>
      </c>
      <c r="AD95" s="1131">
        <v>2</v>
      </c>
      <c r="AE95" s="1139">
        <f t="shared" ref="AE95:AE96" si="73">6*Z95/1000</f>
        <v>7.8E-2</v>
      </c>
      <c r="AF95" s="1131">
        <v>2</v>
      </c>
      <c r="AG95" s="1143">
        <f t="shared" si="68"/>
        <v>1.04</v>
      </c>
      <c r="AH95" s="1140">
        <v>2</v>
      </c>
      <c r="AI95" s="1122">
        <f>$J$11*((((AC95)+(AE95*AD95)+(AG95*AF95))*AH95)*AB95)</f>
        <v>94.272000000000006</v>
      </c>
      <c r="AJ95" s="1144">
        <f t="shared" si="69"/>
        <v>0</v>
      </c>
      <c r="AK95" s="1145">
        <f t="shared" si="70"/>
        <v>98.247136000000012</v>
      </c>
      <c r="AL95" s="1146">
        <f t="shared" si="71"/>
        <v>0</v>
      </c>
    </row>
    <row r="96" spans="1:38" ht="18.75">
      <c r="A96" s="1126"/>
      <c r="B96" s="1127"/>
      <c r="C96" s="1128"/>
      <c r="D96" s="1127"/>
      <c r="E96" s="1127"/>
      <c r="F96" s="1129"/>
      <c r="G96" s="1129"/>
      <c r="H96" s="1129"/>
      <c r="I96" s="1130"/>
      <c r="J96" s="1131"/>
      <c r="K96" s="1132"/>
      <c r="L96" s="1133"/>
      <c r="M96" s="1127" t="s">
        <v>1292</v>
      </c>
      <c r="N96" s="1134">
        <f>I93*(F93*H93)</f>
        <v>4.08</v>
      </c>
      <c r="O96" s="1094"/>
      <c r="P96" s="1135"/>
      <c r="Q96" s="1136"/>
      <c r="R96" s="1137"/>
      <c r="S96" s="1138"/>
      <c r="T96" s="1139"/>
      <c r="U96" s="1131"/>
      <c r="V96" s="1139"/>
      <c r="W96" s="1140"/>
      <c r="X96" s="1122"/>
      <c r="Y96" s="1141" t="s">
        <v>1291</v>
      </c>
      <c r="Z96" s="1142">
        <v>8</v>
      </c>
      <c r="AA96" s="1137">
        <v>0.15</v>
      </c>
      <c r="AB96" s="1138">
        <f>(H93)/AA96+1</f>
        <v>19.133333333333336</v>
      </c>
      <c r="AC96" s="1139">
        <f>(F93+0.3)-0.06</f>
        <v>1.74</v>
      </c>
      <c r="AD96" s="1131">
        <v>2</v>
      </c>
      <c r="AE96" s="1139">
        <f t="shared" si="73"/>
        <v>4.8000000000000001E-2</v>
      </c>
      <c r="AF96" s="1131">
        <v>0</v>
      </c>
      <c r="AG96" s="1143">
        <f t="shared" si="68"/>
        <v>0</v>
      </c>
      <c r="AH96" s="1140">
        <v>2</v>
      </c>
      <c r="AI96" s="1122">
        <f>$J$11*((((AC96)+(AE96*AD96)+(AG96*AF96))*AH96)*AB96)</f>
        <v>562.06080000000009</v>
      </c>
      <c r="AJ96" s="1144">
        <f t="shared" si="69"/>
        <v>0</v>
      </c>
      <c r="AK96" s="1145">
        <f t="shared" si="70"/>
        <v>0</v>
      </c>
      <c r="AL96" s="1146">
        <f t="shared" si="71"/>
        <v>0</v>
      </c>
    </row>
    <row r="97" spans="1:38" ht="19.5" thickBot="1">
      <c r="A97" s="1126"/>
      <c r="B97" s="1127"/>
      <c r="C97" s="1128"/>
      <c r="D97" s="1127"/>
      <c r="E97" s="1127"/>
      <c r="F97" s="1129"/>
      <c r="G97" s="1129"/>
      <c r="H97" s="1129"/>
      <c r="I97" s="1130"/>
      <c r="J97" s="1131"/>
      <c r="K97" s="1132"/>
      <c r="L97" s="1133"/>
      <c r="M97" s="1127"/>
      <c r="N97" s="1134"/>
      <c r="O97" s="1094"/>
      <c r="P97" s="1135"/>
      <c r="Q97" s="1136"/>
      <c r="R97" s="1137"/>
      <c r="S97" s="1138"/>
      <c r="T97" s="1139"/>
      <c r="U97" s="1131"/>
      <c r="V97" s="1139"/>
      <c r="W97" s="1140"/>
      <c r="X97" s="1122"/>
      <c r="Y97" s="1141"/>
      <c r="Z97" s="1142"/>
      <c r="AA97" s="1137"/>
      <c r="AB97" s="1138"/>
      <c r="AC97" s="1139"/>
      <c r="AD97" s="1131"/>
      <c r="AE97" s="1139"/>
      <c r="AF97" s="1131"/>
      <c r="AG97" s="1139"/>
      <c r="AH97" s="1140"/>
      <c r="AI97" s="1122"/>
      <c r="AJ97" s="1144">
        <f t="shared" si="69"/>
        <v>0</v>
      </c>
      <c r="AK97" s="1145">
        <f t="shared" si="70"/>
        <v>0</v>
      </c>
      <c r="AL97" s="1146">
        <f t="shared" si="71"/>
        <v>0</v>
      </c>
    </row>
    <row r="98" spans="1:38" ht="20.25" thickTop="1" thickBot="1">
      <c r="A98" s="1188"/>
      <c r="B98" s="1189"/>
      <c r="C98" s="1190"/>
      <c r="D98" s="1189"/>
      <c r="E98" s="1191" t="s">
        <v>468</v>
      </c>
      <c r="F98" s="1192"/>
      <c r="G98" s="1192"/>
      <c r="H98" s="1192"/>
      <c r="I98" s="1192"/>
      <c r="J98" s="1192"/>
      <c r="K98" s="1193"/>
      <c r="L98" s="1194">
        <f>SUM(L77:L97)</f>
        <v>3.5158499999999995</v>
      </c>
      <c r="M98" s="1189"/>
      <c r="N98" s="1194">
        <f>SUM(N77:N97)</f>
        <v>23.439</v>
      </c>
      <c r="O98" s="1195"/>
      <c r="P98" s="1196"/>
      <c r="Q98" s="1188"/>
      <c r="R98" s="1197"/>
      <c r="S98" s="1198"/>
      <c r="T98" s="1199"/>
      <c r="U98" s="1200"/>
      <c r="V98" s="1199"/>
      <c r="W98" s="1201"/>
      <c r="X98" s="1202"/>
      <c r="Y98" s="1203"/>
      <c r="Z98" s="1204"/>
      <c r="AA98" s="1197"/>
      <c r="AB98" s="1198"/>
      <c r="AC98" s="1199"/>
      <c r="AD98" s="1200"/>
      <c r="AE98" s="1199"/>
      <c r="AF98" s="1200"/>
      <c r="AG98" s="1199"/>
      <c r="AH98" s="1201"/>
      <c r="AI98" s="1202"/>
      <c r="AJ98" s="1205">
        <f>SUM(AJ77:AJ97)</f>
        <v>0</v>
      </c>
      <c r="AK98" s="1205">
        <f t="shared" ref="AK98:AL98" si="74">SUM(AK77:AK97)</f>
        <v>1195.4068533333334</v>
      </c>
      <c r="AL98" s="1206">
        <f t="shared" si="74"/>
        <v>0</v>
      </c>
    </row>
    <row r="99" spans="1:38" ht="19.5" thickTop="1">
      <c r="A99" s="1136"/>
      <c r="B99" s="1148"/>
      <c r="C99" s="1128"/>
      <c r="D99" s="1127"/>
      <c r="E99" s="1127"/>
      <c r="F99" s="1129"/>
      <c r="G99" s="1129"/>
      <c r="H99" s="1129"/>
      <c r="I99" s="1181"/>
      <c r="J99" s="1131"/>
      <c r="K99" s="1132"/>
      <c r="L99" s="1133"/>
      <c r="M99" s="1127"/>
      <c r="N99" s="1134"/>
      <c r="O99" s="1094"/>
      <c r="P99" s="1182"/>
      <c r="Q99" s="1136"/>
      <c r="R99" s="1137"/>
      <c r="S99" s="1138"/>
      <c r="T99" s="1139"/>
      <c r="U99" s="1131"/>
      <c r="V99" s="1139"/>
      <c r="W99" s="1140"/>
      <c r="X99" s="1122"/>
      <c r="Y99" s="1183"/>
      <c r="Z99" s="1142"/>
      <c r="AA99" s="1137"/>
      <c r="AB99" s="1138"/>
      <c r="AC99" s="1139"/>
      <c r="AD99" s="1131"/>
      <c r="AE99" s="1139"/>
      <c r="AF99" s="1131"/>
      <c r="AG99" s="1139"/>
      <c r="AH99" s="1140"/>
      <c r="AI99" s="1122"/>
      <c r="AJ99" s="1144"/>
      <c r="AK99" s="1145"/>
      <c r="AL99" s="1207"/>
    </row>
    <row r="100" spans="1:38" ht="18.75">
      <c r="A100" s="1136"/>
      <c r="B100" s="1166" t="s">
        <v>1277</v>
      </c>
      <c r="C100" s="1128" t="s">
        <v>388</v>
      </c>
      <c r="D100" s="1127">
        <v>1</v>
      </c>
      <c r="E100" s="1127" t="s">
        <v>1279</v>
      </c>
      <c r="F100" s="1129">
        <v>0.3</v>
      </c>
      <c r="G100" s="1129">
        <v>0.16</v>
      </c>
      <c r="H100" s="1129">
        <v>1.5</v>
      </c>
      <c r="I100" s="1181">
        <v>1</v>
      </c>
      <c r="J100" s="1131">
        <v>8</v>
      </c>
      <c r="K100" s="1132"/>
      <c r="L100" s="1133">
        <f>I100*(((F100*G100*H100)/2)*J100)</f>
        <v>0.28800000000000003</v>
      </c>
      <c r="M100" s="1127" t="s">
        <v>1280</v>
      </c>
      <c r="N100" s="1134">
        <f>I100*(G100*H100*J100)</f>
        <v>1.92</v>
      </c>
      <c r="O100" s="1094"/>
      <c r="P100" s="1182" t="s">
        <v>1281</v>
      </c>
      <c r="Q100" s="1136">
        <v>8</v>
      </c>
      <c r="R100" s="1137"/>
      <c r="S100" s="1138">
        <v>1</v>
      </c>
      <c r="T100" s="1139">
        <f>(H100+0.4)-0.06</f>
        <v>1.8399999999999999</v>
      </c>
      <c r="U100" s="1131">
        <v>2</v>
      </c>
      <c r="V100" s="1139">
        <f>6*Q100/1000</f>
        <v>4.8000000000000001E-2</v>
      </c>
      <c r="W100" s="1140">
        <v>8</v>
      </c>
      <c r="X100" s="1122">
        <f>I100*((((T100)+(V100*U100)*S100)*W100))</f>
        <v>15.488</v>
      </c>
      <c r="Y100" s="1183" t="s">
        <v>1282</v>
      </c>
      <c r="Z100" s="1142">
        <v>13</v>
      </c>
      <c r="AA100" s="1137">
        <v>0.15</v>
      </c>
      <c r="AB100" s="1138">
        <f>($G$19)/AA100+1</f>
        <v>2</v>
      </c>
      <c r="AC100" s="1139">
        <v>3.77</v>
      </c>
      <c r="AD100" s="1131">
        <v>2</v>
      </c>
      <c r="AE100" s="1139">
        <f>6*Z100/1000</f>
        <v>7.8E-2</v>
      </c>
      <c r="AF100" s="1131">
        <v>2</v>
      </c>
      <c r="AG100" s="1143">
        <f t="shared" ref="AG100:AG104" si="75">(40*Z100/1000)*AF100</f>
        <v>1.04</v>
      </c>
      <c r="AH100" s="1140">
        <v>1</v>
      </c>
      <c r="AI100" s="1122">
        <f>$J$11*((((AC100)+(AE100*AD100)+(AG100*AF100))*AH100)*AB100)</f>
        <v>96.096000000000004</v>
      </c>
      <c r="AJ100" s="1144">
        <f t="shared" ref="AJ100:AJ105" si="76">((IF(Q100=$AK$7,X100,0)+(IF(Z100=$AK$7,AI100,0))))*$AK$9</f>
        <v>0</v>
      </c>
      <c r="AK100" s="1145">
        <f t="shared" ref="AK100:AK105" si="77">((IF(Q100=$AL$7,X100,0)+(IF(Z100=$AL$7,AI100,0))))*$AL$9</f>
        <v>100.148048</v>
      </c>
      <c r="AL100" s="1146">
        <f t="shared" ref="AL100:AL105" si="78">((IF(Q100=$AM$7,X100,0)+(IF(Z100=$AM$7,AI100,0))))*$AM$9</f>
        <v>0</v>
      </c>
    </row>
    <row r="101" spans="1:38" ht="18.75">
      <c r="A101" s="1126"/>
      <c r="B101" s="1127"/>
      <c r="C101" s="1128"/>
      <c r="D101" s="1127"/>
      <c r="E101" s="1127" t="s">
        <v>1283</v>
      </c>
      <c r="F101" s="1129">
        <v>1.5</v>
      </c>
      <c r="G101" s="1129">
        <v>0.15</v>
      </c>
      <c r="H101" s="1129">
        <v>2.4</v>
      </c>
      <c r="I101" s="1130">
        <v>1</v>
      </c>
      <c r="J101" s="1131"/>
      <c r="K101" s="1132"/>
      <c r="L101" s="1133">
        <f>I101*(F101*G101*H101)</f>
        <v>0.53999999999999992</v>
      </c>
      <c r="M101" s="1127" t="s">
        <v>1284</v>
      </c>
      <c r="N101" s="1134"/>
      <c r="O101" s="1094"/>
      <c r="P101" s="1135" t="s">
        <v>1285</v>
      </c>
      <c r="Q101" s="1136">
        <v>8</v>
      </c>
      <c r="R101" s="1137">
        <v>0.2</v>
      </c>
      <c r="S101" s="1138">
        <f>(H100/R101+1)</f>
        <v>8.5</v>
      </c>
      <c r="T101" s="1139">
        <f>(F100+G100+0.3)-(0.03*2)</f>
        <v>0.7</v>
      </c>
      <c r="U101" s="1131">
        <v>2</v>
      </c>
      <c r="V101" s="1139">
        <f>6*Q101/1000</f>
        <v>4.8000000000000001E-2</v>
      </c>
      <c r="W101" s="1140">
        <v>8</v>
      </c>
      <c r="X101" s="1122">
        <f>I100*(((((T101)+(V101*U101))*S101)*W101))</f>
        <v>54.127999999999993</v>
      </c>
      <c r="Y101" s="1141" t="s">
        <v>1286</v>
      </c>
      <c r="Z101" s="1142">
        <v>13</v>
      </c>
      <c r="AA101" s="1137">
        <v>0.15</v>
      </c>
      <c r="AB101" s="1138">
        <f>($G$19)/AA101+1</f>
        <v>2</v>
      </c>
      <c r="AC101" s="1139">
        <v>4.12</v>
      </c>
      <c r="AD101" s="1131">
        <v>2</v>
      </c>
      <c r="AE101" s="1139">
        <f>6*Z101/1000</f>
        <v>7.8E-2</v>
      </c>
      <c r="AF101" s="1131">
        <v>2</v>
      </c>
      <c r="AG101" s="1143">
        <f t="shared" si="75"/>
        <v>1.04</v>
      </c>
      <c r="AH101" s="1140">
        <v>1</v>
      </c>
      <c r="AI101" s="1122">
        <f t="shared" ref="AI101:AI102" si="79">$J$11*((((AC101)+(AE101*AD101)+(AG101*AF101))*AH101)*AB101)</f>
        <v>101.696</v>
      </c>
      <c r="AJ101" s="1144">
        <f t="shared" si="76"/>
        <v>0</v>
      </c>
      <c r="AK101" s="1145">
        <f t="shared" si="77"/>
        <v>105.98418133333334</v>
      </c>
      <c r="AL101" s="1146">
        <f t="shared" si="78"/>
        <v>0</v>
      </c>
    </row>
    <row r="102" spans="1:38" ht="18.75">
      <c r="A102" s="1126"/>
      <c r="B102" s="1127"/>
      <c r="C102" s="1128"/>
      <c r="D102" s="1127"/>
      <c r="E102" s="1127" t="s">
        <v>1287</v>
      </c>
      <c r="F102" s="1129">
        <v>1.5</v>
      </c>
      <c r="G102" s="1129">
        <v>0.15</v>
      </c>
      <c r="H102" s="1129">
        <v>1.536</v>
      </c>
      <c r="I102" s="1130">
        <v>1</v>
      </c>
      <c r="J102" s="1131"/>
      <c r="K102" s="1132"/>
      <c r="L102" s="1133">
        <f>I102*(F102*G102*H102)</f>
        <v>0.34559999999999996</v>
      </c>
      <c r="M102" s="1127" t="s">
        <v>1288</v>
      </c>
      <c r="N102" s="1134"/>
      <c r="O102" s="1094"/>
      <c r="P102" s="1135"/>
      <c r="Q102" s="1136"/>
      <c r="R102" s="1137"/>
      <c r="S102" s="1138"/>
      <c r="T102" s="1139"/>
      <c r="U102" s="1131"/>
      <c r="V102" s="1139"/>
      <c r="W102" s="1140"/>
      <c r="X102" s="1122"/>
      <c r="Y102" s="1141" t="s">
        <v>1289</v>
      </c>
      <c r="Z102" s="1142">
        <v>13</v>
      </c>
      <c r="AA102" s="1137">
        <v>0.15</v>
      </c>
      <c r="AB102" s="1138">
        <f>($G$19)/AA102+1</f>
        <v>2</v>
      </c>
      <c r="AC102" s="1139">
        <v>1.37</v>
      </c>
      <c r="AD102" s="1131">
        <v>2</v>
      </c>
      <c r="AE102" s="1139">
        <f>6*Z102/1000</f>
        <v>7.8E-2</v>
      </c>
      <c r="AF102" s="1131">
        <v>2</v>
      </c>
      <c r="AG102" s="1143">
        <f t="shared" si="75"/>
        <v>1.04</v>
      </c>
      <c r="AH102" s="1140">
        <v>1</v>
      </c>
      <c r="AI102" s="1122">
        <f t="shared" si="79"/>
        <v>57.695999999999998</v>
      </c>
      <c r="AJ102" s="1144">
        <f t="shared" si="76"/>
        <v>0</v>
      </c>
      <c r="AK102" s="1145">
        <f t="shared" si="77"/>
        <v>60.128847999999998</v>
      </c>
      <c r="AL102" s="1146">
        <f t="shared" si="78"/>
        <v>0</v>
      </c>
    </row>
    <row r="103" spans="1:38" ht="18.75">
      <c r="A103" s="1126"/>
      <c r="B103" s="1127"/>
      <c r="C103" s="1128"/>
      <c r="D103" s="1127"/>
      <c r="E103" s="1127"/>
      <c r="F103" s="1129"/>
      <c r="G103" s="1129"/>
      <c r="H103" s="1129"/>
      <c r="I103" s="1130"/>
      <c r="J103" s="1131"/>
      <c r="K103" s="1132"/>
      <c r="L103" s="1133"/>
      <c r="M103" s="1127" t="s">
        <v>1290</v>
      </c>
      <c r="N103" s="1134"/>
      <c r="O103" s="1094"/>
      <c r="P103" s="1135"/>
      <c r="Q103" s="1136"/>
      <c r="R103" s="1137"/>
      <c r="S103" s="1138"/>
      <c r="T103" s="1139"/>
      <c r="U103" s="1131"/>
      <c r="V103" s="1139"/>
      <c r="W103" s="1140"/>
      <c r="X103" s="1145"/>
      <c r="Y103" s="1184" t="s">
        <v>1294</v>
      </c>
      <c r="Z103" s="1137">
        <v>13</v>
      </c>
      <c r="AA103" s="1137">
        <v>0.15</v>
      </c>
      <c r="AB103" s="1138">
        <f>($G$19)/AA103+1</f>
        <v>2</v>
      </c>
      <c r="AC103" s="1139">
        <v>1.74</v>
      </c>
      <c r="AD103" s="1131">
        <v>2</v>
      </c>
      <c r="AE103" s="1139">
        <f t="shared" ref="AE103:AE104" si="80">6*Z103/1000</f>
        <v>7.8E-2</v>
      </c>
      <c r="AF103" s="1131">
        <v>2</v>
      </c>
      <c r="AG103" s="1143">
        <f t="shared" si="75"/>
        <v>1.04</v>
      </c>
      <c r="AH103" s="1140">
        <v>2</v>
      </c>
      <c r="AI103" s="1122">
        <f>$J$11*((((AC103)+(AE103*AD103)+(AG103*AF103))*AH103)*AB103)</f>
        <v>127.232</v>
      </c>
      <c r="AJ103" s="1144">
        <f t="shared" si="76"/>
        <v>0</v>
      </c>
      <c r="AK103" s="1145">
        <f t="shared" si="77"/>
        <v>132.59694933333333</v>
      </c>
      <c r="AL103" s="1146">
        <f t="shared" si="78"/>
        <v>0</v>
      </c>
    </row>
    <row r="104" spans="1:38" ht="18.75">
      <c r="A104" s="1126"/>
      <c r="B104" s="1127"/>
      <c r="C104" s="1128"/>
      <c r="D104" s="1127"/>
      <c r="E104" s="1127"/>
      <c r="F104" s="1129"/>
      <c r="G104" s="1129"/>
      <c r="H104" s="1129"/>
      <c r="I104" s="1130"/>
      <c r="J104" s="1131"/>
      <c r="K104" s="1132"/>
      <c r="L104" s="1133"/>
      <c r="M104" s="1127" t="s">
        <v>1292</v>
      </c>
      <c r="N104" s="1134">
        <f>I101*(F101*H101)</f>
        <v>3.5999999999999996</v>
      </c>
      <c r="O104" s="1094"/>
      <c r="P104" s="1135"/>
      <c r="Q104" s="1136"/>
      <c r="R104" s="1137"/>
      <c r="S104" s="1138"/>
      <c r="T104" s="1139"/>
      <c r="U104" s="1131"/>
      <c r="V104" s="1139"/>
      <c r="W104" s="1140"/>
      <c r="X104" s="1122"/>
      <c r="Y104" s="1141" t="s">
        <v>1291</v>
      </c>
      <c r="Z104" s="1142">
        <v>8</v>
      </c>
      <c r="AA104" s="1137">
        <v>0.15</v>
      </c>
      <c r="AB104" s="1138">
        <f>(H101)/AA104+1</f>
        <v>17</v>
      </c>
      <c r="AC104" s="1139">
        <f>(F101+0.3)-0.06</f>
        <v>1.74</v>
      </c>
      <c r="AD104" s="1131">
        <v>2</v>
      </c>
      <c r="AE104" s="1139">
        <f t="shared" si="80"/>
        <v>4.8000000000000001E-2</v>
      </c>
      <c r="AF104" s="1131">
        <v>0</v>
      </c>
      <c r="AG104" s="1143">
        <f t="shared" si="75"/>
        <v>0</v>
      </c>
      <c r="AH104" s="1140">
        <v>2</v>
      </c>
      <c r="AI104" s="1122">
        <f>$J$11*((((AC104)+(AE104*AD104)+(AG104*AF104))*AH104)*AB104)</f>
        <v>499.392</v>
      </c>
      <c r="AJ104" s="1144">
        <f t="shared" si="76"/>
        <v>0</v>
      </c>
      <c r="AK104" s="1145">
        <f t="shared" si="77"/>
        <v>0</v>
      </c>
      <c r="AL104" s="1146">
        <f t="shared" si="78"/>
        <v>0</v>
      </c>
    </row>
    <row r="105" spans="1:38" ht="18.75">
      <c r="A105" s="1126"/>
      <c r="B105" s="1127"/>
      <c r="C105" s="1128"/>
      <c r="D105" s="1127"/>
      <c r="E105" s="1127"/>
      <c r="F105" s="1129"/>
      <c r="G105" s="1129"/>
      <c r="H105" s="1129"/>
      <c r="I105" s="1130"/>
      <c r="J105" s="1131"/>
      <c r="K105" s="1132"/>
      <c r="L105" s="1133"/>
      <c r="M105" s="1127" t="s">
        <v>1293</v>
      </c>
      <c r="N105" s="1134">
        <f>I102*(F102*H102)</f>
        <v>2.3040000000000003</v>
      </c>
      <c r="O105" s="1094"/>
      <c r="P105" s="1135"/>
      <c r="Q105" s="1136"/>
      <c r="R105" s="1137"/>
      <c r="S105" s="1138"/>
      <c r="T105" s="1139"/>
      <c r="U105" s="1131"/>
      <c r="V105" s="1139"/>
      <c r="W105" s="1140"/>
      <c r="X105" s="1122"/>
      <c r="Y105" s="1141"/>
      <c r="Z105" s="1142"/>
      <c r="AA105" s="1137"/>
      <c r="AB105" s="1138"/>
      <c r="AC105" s="1139"/>
      <c r="AD105" s="1131"/>
      <c r="AE105" s="1139"/>
      <c r="AF105" s="1131"/>
      <c r="AG105" s="1139"/>
      <c r="AH105" s="1140"/>
      <c r="AI105" s="1122"/>
      <c r="AJ105" s="1144">
        <f t="shared" si="76"/>
        <v>0</v>
      </c>
      <c r="AK105" s="1145">
        <f t="shared" si="77"/>
        <v>0</v>
      </c>
      <c r="AL105" s="1146">
        <f t="shared" si="78"/>
        <v>0</v>
      </c>
    </row>
    <row r="106" spans="1:38" ht="18.75">
      <c r="A106" s="1126"/>
      <c r="B106" s="1127"/>
      <c r="C106" s="1128"/>
      <c r="D106" s="1127"/>
      <c r="E106" s="1127"/>
      <c r="F106" s="1168"/>
      <c r="G106" s="1168"/>
      <c r="H106" s="1168"/>
      <c r="I106" s="1130"/>
      <c r="J106" s="1169"/>
      <c r="K106" s="1132"/>
      <c r="L106" s="1133"/>
      <c r="M106" s="1127"/>
      <c r="N106" s="1134"/>
      <c r="O106" s="1094"/>
      <c r="P106" s="1135"/>
      <c r="Q106" s="1136"/>
      <c r="R106" s="1137"/>
      <c r="S106" s="1138"/>
      <c r="T106" s="1139"/>
      <c r="U106" s="1131"/>
      <c r="V106" s="1139"/>
      <c r="W106" s="1140"/>
      <c r="X106" s="1122"/>
      <c r="Y106" s="1141"/>
      <c r="Z106" s="1142"/>
      <c r="AA106" s="1137"/>
      <c r="AB106" s="1138"/>
      <c r="AC106" s="1139"/>
      <c r="AD106" s="1131"/>
      <c r="AE106" s="1139"/>
      <c r="AF106" s="1131"/>
      <c r="AG106" s="1139"/>
      <c r="AH106" s="1140"/>
      <c r="AI106" s="1122"/>
      <c r="AJ106" s="1144"/>
      <c r="AK106" s="1145"/>
      <c r="AL106" s="1146"/>
    </row>
    <row r="107" spans="1:38" ht="18.75">
      <c r="A107" s="1136"/>
      <c r="B107" s="1166"/>
      <c r="C107" s="1128"/>
      <c r="D107" s="1127">
        <v>2</v>
      </c>
      <c r="E107" s="1127" t="s">
        <v>1279</v>
      </c>
      <c r="F107" s="1129">
        <v>0.3</v>
      </c>
      <c r="G107" s="1129">
        <v>0.16</v>
      </c>
      <c r="H107" s="1129">
        <v>1.5</v>
      </c>
      <c r="I107" s="1181">
        <v>1</v>
      </c>
      <c r="J107" s="1131">
        <v>9</v>
      </c>
      <c r="K107" s="1132"/>
      <c r="L107" s="1133">
        <f>I107*(((F107*G107*H107)/2)*J107)</f>
        <v>0.32400000000000007</v>
      </c>
      <c r="M107" s="1127" t="s">
        <v>1280</v>
      </c>
      <c r="N107" s="1134">
        <f>I107*(G107*H107*J107)</f>
        <v>2.16</v>
      </c>
      <c r="O107" s="1094"/>
      <c r="P107" s="1182" t="s">
        <v>1281</v>
      </c>
      <c r="Q107" s="1136">
        <v>8</v>
      </c>
      <c r="R107" s="1137"/>
      <c r="S107" s="1138">
        <v>1</v>
      </c>
      <c r="T107" s="1139">
        <f>(H107+0.4)-0.06</f>
        <v>1.8399999999999999</v>
      </c>
      <c r="U107" s="1131">
        <v>2</v>
      </c>
      <c r="V107" s="1139">
        <f>6*Q107/1000</f>
        <v>4.8000000000000001E-2</v>
      </c>
      <c r="W107" s="1140">
        <v>9</v>
      </c>
      <c r="X107" s="1122">
        <f>I107*((((T107)+(V107*U107)*S107)*W107))</f>
        <v>17.423999999999999</v>
      </c>
      <c r="Y107" s="1183" t="s">
        <v>1282</v>
      </c>
      <c r="Z107" s="1142">
        <v>13</v>
      </c>
      <c r="AA107" s="1137">
        <v>0.15</v>
      </c>
      <c r="AB107" s="1138">
        <f>($G$19)/AA107+1</f>
        <v>2</v>
      </c>
      <c r="AC107" s="1139">
        <f>1.5+3.06</f>
        <v>4.5600000000000005</v>
      </c>
      <c r="AD107" s="1131">
        <v>2</v>
      </c>
      <c r="AE107" s="1139">
        <f>6*Z107/1000</f>
        <v>7.8E-2</v>
      </c>
      <c r="AF107" s="1131">
        <v>2</v>
      </c>
      <c r="AG107" s="1143">
        <f t="shared" ref="AG107:AG111" si="81">(40*Z107/1000)*AF107</f>
        <v>1.04</v>
      </c>
      <c r="AH107" s="1140">
        <v>1</v>
      </c>
      <c r="AI107" s="1122">
        <f>$J$11*((((AC107)+(AE107*AD107)+(AG107*AF107))*AH107)*AB107)</f>
        <v>108.736</v>
      </c>
      <c r="AJ107" s="1144">
        <f t="shared" ref="AJ107:AJ112" si="82">((IF(Q107=$AK$7,X107,0)+(IF(Z107=$AK$7,AI107,0))))*$AK$9</f>
        <v>0</v>
      </c>
      <c r="AK107" s="1145">
        <f t="shared" ref="AK107:AK112" si="83">((IF(Q107=$AL$7,X107,0)+(IF(Z107=$AL$7,AI107,0))))*$AL$9</f>
        <v>113.32103466666668</v>
      </c>
      <c r="AL107" s="1146">
        <f t="shared" ref="AL107:AL112" si="84">((IF(Q107=$AM$7,X107,0)+(IF(Z107=$AM$7,AI107,0))))*$AM$9</f>
        <v>0</v>
      </c>
    </row>
    <row r="108" spans="1:38" ht="18.75">
      <c r="A108" s="1126"/>
      <c r="B108" s="1127"/>
      <c r="C108" s="1128"/>
      <c r="D108" s="1127"/>
      <c r="E108" s="1127" t="s">
        <v>1283</v>
      </c>
      <c r="F108" s="1129">
        <v>1.5</v>
      </c>
      <c r="G108" s="1129">
        <v>0.15</v>
      </c>
      <c r="H108" s="1129">
        <f>0.34*9</f>
        <v>3.06</v>
      </c>
      <c r="I108" s="1130">
        <v>1</v>
      </c>
      <c r="J108" s="1131"/>
      <c r="K108" s="1132"/>
      <c r="L108" s="1133">
        <f>I108*(F108*G108*H108)</f>
        <v>0.68849999999999989</v>
      </c>
      <c r="M108" s="1127" t="s">
        <v>1284</v>
      </c>
      <c r="N108" s="1134"/>
      <c r="O108" s="1094"/>
      <c r="P108" s="1135" t="s">
        <v>1285</v>
      </c>
      <c r="Q108" s="1136">
        <v>8</v>
      </c>
      <c r="R108" s="1137">
        <v>0.2</v>
      </c>
      <c r="S108" s="1138">
        <f>(H107/R108+1)</f>
        <v>8.5</v>
      </c>
      <c r="T108" s="1139">
        <f>(F107+G107+0.3)-(0.03*2)</f>
        <v>0.7</v>
      </c>
      <c r="U108" s="1131">
        <v>2</v>
      </c>
      <c r="V108" s="1139">
        <f>6*Q108/1000</f>
        <v>4.8000000000000001E-2</v>
      </c>
      <c r="W108" s="1140">
        <v>9</v>
      </c>
      <c r="X108" s="1122">
        <f>I107*(((((T108)+(V108*U108))*S108)*W108))</f>
        <v>60.893999999999991</v>
      </c>
      <c r="Y108" s="1141" t="s">
        <v>1286</v>
      </c>
      <c r="Z108" s="1142">
        <v>13</v>
      </c>
      <c r="AA108" s="1137">
        <v>0.15</v>
      </c>
      <c r="AB108" s="1138">
        <f>($G$19)/AA108+1</f>
        <v>2</v>
      </c>
      <c r="AC108" s="1139">
        <f>1.5+3.06</f>
        <v>4.5600000000000005</v>
      </c>
      <c r="AD108" s="1131">
        <v>2</v>
      </c>
      <c r="AE108" s="1139">
        <f>6*Z108/1000</f>
        <v>7.8E-2</v>
      </c>
      <c r="AF108" s="1131">
        <v>2</v>
      </c>
      <c r="AG108" s="1143">
        <f t="shared" si="81"/>
        <v>1.04</v>
      </c>
      <c r="AH108" s="1140">
        <v>1</v>
      </c>
      <c r="AI108" s="1122">
        <f t="shared" ref="AI108:AI109" si="85">$J$11*((((AC108)+(AE108*AD108)+(AG108*AF108))*AH108)*AB108)</f>
        <v>108.736</v>
      </c>
      <c r="AJ108" s="1144">
        <f t="shared" si="82"/>
        <v>0</v>
      </c>
      <c r="AK108" s="1145">
        <f t="shared" si="83"/>
        <v>113.32103466666668</v>
      </c>
      <c r="AL108" s="1146">
        <f t="shared" si="84"/>
        <v>0</v>
      </c>
    </row>
    <row r="109" spans="1:38" ht="18.75">
      <c r="A109" s="1126"/>
      <c r="B109" s="1127"/>
      <c r="C109" s="1128"/>
      <c r="D109" s="1127"/>
      <c r="E109" s="1127" t="s">
        <v>1287</v>
      </c>
      <c r="F109" s="1129">
        <v>1.5</v>
      </c>
      <c r="G109" s="1129">
        <v>0.15</v>
      </c>
      <c r="H109" s="1129">
        <v>1.91</v>
      </c>
      <c r="I109" s="1130">
        <v>1</v>
      </c>
      <c r="J109" s="1131"/>
      <c r="K109" s="1132"/>
      <c r="L109" s="1133">
        <f>I109*(F109*G109*H109)</f>
        <v>0.42974999999999997</v>
      </c>
      <c r="M109" s="1127" t="s">
        <v>1288</v>
      </c>
      <c r="N109" s="1134"/>
      <c r="O109" s="1094"/>
      <c r="P109" s="1135"/>
      <c r="Q109" s="1136"/>
      <c r="R109" s="1137"/>
      <c r="S109" s="1138"/>
      <c r="T109" s="1139"/>
      <c r="U109" s="1131"/>
      <c r="V109" s="1139"/>
      <c r="W109" s="1140"/>
      <c r="X109" s="1122"/>
      <c r="Y109" s="1141" t="s">
        <v>1289</v>
      </c>
      <c r="Z109" s="1142">
        <v>13</v>
      </c>
      <c r="AA109" s="1137">
        <v>0.15</v>
      </c>
      <c r="AB109" s="1138">
        <f>($G$19)/AA109+1</f>
        <v>2</v>
      </c>
      <c r="AC109" s="1139">
        <v>1.5</v>
      </c>
      <c r="AD109" s="1131">
        <v>2</v>
      </c>
      <c r="AE109" s="1139">
        <f>6*Z109/1000</f>
        <v>7.8E-2</v>
      </c>
      <c r="AF109" s="1131">
        <v>2</v>
      </c>
      <c r="AG109" s="1143">
        <f t="shared" si="81"/>
        <v>1.04</v>
      </c>
      <c r="AH109" s="1140">
        <v>1</v>
      </c>
      <c r="AI109" s="1122">
        <f t="shared" si="85"/>
        <v>59.775999999999996</v>
      </c>
      <c r="AJ109" s="1144">
        <f t="shared" si="82"/>
        <v>0</v>
      </c>
      <c r="AK109" s="1145">
        <f t="shared" si="83"/>
        <v>62.296554666666665</v>
      </c>
      <c r="AL109" s="1146">
        <f t="shared" si="84"/>
        <v>0</v>
      </c>
    </row>
    <row r="110" spans="1:38" ht="18.75">
      <c r="A110" s="1126"/>
      <c r="B110" s="1127"/>
      <c r="C110" s="1128"/>
      <c r="D110" s="1127"/>
      <c r="E110" s="1127"/>
      <c r="F110" s="1129"/>
      <c r="G110" s="1129"/>
      <c r="H110" s="1129"/>
      <c r="I110" s="1130"/>
      <c r="J110" s="1131"/>
      <c r="K110" s="1132"/>
      <c r="L110" s="1133"/>
      <c r="M110" s="1127" t="s">
        <v>1290</v>
      </c>
      <c r="N110" s="1134"/>
      <c r="O110" s="1094"/>
      <c r="P110" s="1135"/>
      <c r="Q110" s="1136"/>
      <c r="R110" s="1137"/>
      <c r="S110" s="1138"/>
      <c r="T110" s="1139"/>
      <c r="U110" s="1131"/>
      <c r="V110" s="1139"/>
      <c r="W110" s="1140"/>
      <c r="X110" s="1145"/>
      <c r="Y110" s="1184" t="s">
        <v>1294</v>
      </c>
      <c r="Z110" s="1137">
        <v>13</v>
      </c>
      <c r="AA110" s="1137">
        <v>0.15</v>
      </c>
      <c r="AB110" s="1138">
        <f>($G$19)/AA110+1</f>
        <v>2</v>
      </c>
      <c r="AC110" s="1139">
        <v>1.5</v>
      </c>
      <c r="AD110" s="1131">
        <v>2</v>
      </c>
      <c r="AE110" s="1139">
        <f t="shared" ref="AE110:AE111" si="86">6*Z110/1000</f>
        <v>7.8E-2</v>
      </c>
      <c r="AF110" s="1131">
        <v>2</v>
      </c>
      <c r="AG110" s="1143">
        <f t="shared" si="81"/>
        <v>1.04</v>
      </c>
      <c r="AH110" s="1140">
        <v>2</v>
      </c>
      <c r="AI110" s="1122">
        <f>$J$11*((((AC110)+(AE110*AD110)+(AG110*AF110))*AH110)*AB110)</f>
        <v>119.55199999999999</v>
      </c>
      <c r="AJ110" s="1144">
        <f t="shared" si="82"/>
        <v>0</v>
      </c>
      <c r="AK110" s="1145">
        <f t="shared" si="83"/>
        <v>124.59310933333333</v>
      </c>
      <c r="AL110" s="1146">
        <f t="shared" si="84"/>
        <v>0</v>
      </c>
    </row>
    <row r="111" spans="1:38" ht="18.75">
      <c r="A111" s="1126"/>
      <c r="B111" s="1127"/>
      <c r="C111" s="1128"/>
      <c r="D111" s="1127"/>
      <c r="E111" s="1127"/>
      <c r="F111" s="1129"/>
      <c r="G111" s="1129"/>
      <c r="H111" s="1129"/>
      <c r="I111" s="1130"/>
      <c r="J111" s="1131"/>
      <c r="K111" s="1132"/>
      <c r="L111" s="1133"/>
      <c r="M111" s="1127" t="s">
        <v>1292</v>
      </c>
      <c r="N111" s="1134">
        <f>I108*(F108*H108)</f>
        <v>4.59</v>
      </c>
      <c r="O111" s="1094"/>
      <c r="P111" s="1135"/>
      <c r="Q111" s="1136"/>
      <c r="R111" s="1137"/>
      <c r="S111" s="1138"/>
      <c r="T111" s="1139"/>
      <c r="U111" s="1131"/>
      <c r="V111" s="1139"/>
      <c r="W111" s="1140"/>
      <c r="X111" s="1122"/>
      <c r="Y111" s="1141" t="s">
        <v>1291</v>
      </c>
      <c r="Z111" s="1142">
        <v>8</v>
      </c>
      <c r="AA111" s="1137">
        <v>0.15</v>
      </c>
      <c r="AB111" s="1138">
        <f>(H108)/AA111+1</f>
        <v>21.400000000000002</v>
      </c>
      <c r="AC111" s="1139">
        <f>(F108+0.3)-0.06</f>
        <v>1.74</v>
      </c>
      <c r="AD111" s="1131">
        <v>2</v>
      </c>
      <c r="AE111" s="1139">
        <f t="shared" si="86"/>
        <v>4.8000000000000001E-2</v>
      </c>
      <c r="AF111" s="1131">
        <v>0</v>
      </c>
      <c r="AG111" s="1143">
        <f t="shared" si="81"/>
        <v>0</v>
      </c>
      <c r="AH111" s="1140">
        <v>2</v>
      </c>
      <c r="AI111" s="1122">
        <f>$J$11*((((AC111)+(AE111*AD111)+(AG111*AF111))*AH111)*AB111)</f>
        <v>628.64640000000009</v>
      </c>
      <c r="AJ111" s="1144">
        <f t="shared" si="82"/>
        <v>0</v>
      </c>
      <c r="AK111" s="1145">
        <f t="shared" si="83"/>
        <v>0</v>
      </c>
      <c r="AL111" s="1146">
        <f t="shared" si="84"/>
        <v>0</v>
      </c>
    </row>
    <row r="112" spans="1:38" ht="18.75">
      <c r="A112" s="1126"/>
      <c r="B112" s="1127"/>
      <c r="C112" s="1128"/>
      <c r="D112" s="1127"/>
      <c r="E112" s="1127"/>
      <c r="F112" s="1129"/>
      <c r="G112" s="1129"/>
      <c r="H112" s="1129"/>
      <c r="I112" s="1130"/>
      <c r="J112" s="1131"/>
      <c r="K112" s="1132"/>
      <c r="L112" s="1133"/>
      <c r="M112" s="1127" t="s">
        <v>1293</v>
      </c>
      <c r="N112" s="1134">
        <f>I109*(F109*H109)</f>
        <v>2.8649999999999998</v>
      </c>
      <c r="O112" s="1094"/>
      <c r="P112" s="1135"/>
      <c r="Q112" s="1136"/>
      <c r="R112" s="1137"/>
      <c r="S112" s="1138"/>
      <c r="T112" s="1139"/>
      <c r="U112" s="1131"/>
      <c r="V112" s="1139"/>
      <c r="W112" s="1140"/>
      <c r="X112" s="1122"/>
      <c r="Y112" s="1141"/>
      <c r="Z112" s="1142"/>
      <c r="AA112" s="1137"/>
      <c r="AB112" s="1138"/>
      <c r="AC112" s="1139"/>
      <c r="AD112" s="1131"/>
      <c r="AE112" s="1139"/>
      <c r="AF112" s="1131"/>
      <c r="AG112" s="1139"/>
      <c r="AH112" s="1140"/>
      <c r="AI112" s="1122"/>
      <c r="AJ112" s="1144">
        <f t="shared" si="82"/>
        <v>0</v>
      </c>
      <c r="AK112" s="1145">
        <f t="shared" si="83"/>
        <v>0</v>
      </c>
      <c r="AL112" s="1146">
        <f t="shared" si="84"/>
        <v>0</v>
      </c>
    </row>
    <row r="113" spans="1:38" ht="18.75">
      <c r="A113" s="1126"/>
      <c r="B113" s="1127"/>
      <c r="C113" s="1128"/>
      <c r="D113" s="1127"/>
      <c r="E113" s="1127"/>
      <c r="F113" s="1168"/>
      <c r="G113" s="1168"/>
      <c r="H113" s="1168"/>
      <c r="I113" s="1130"/>
      <c r="J113" s="1169"/>
      <c r="K113" s="1132"/>
      <c r="L113" s="1133"/>
      <c r="M113" s="1127"/>
      <c r="N113" s="1134"/>
      <c r="O113" s="1094"/>
      <c r="P113" s="1135"/>
      <c r="Q113" s="1136"/>
      <c r="R113" s="1137"/>
      <c r="S113" s="1138"/>
      <c r="T113" s="1139"/>
      <c r="U113" s="1131"/>
      <c r="V113" s="1139"/>
      <c r="W113" s="1140"/>
      <c r="X113" s="1122"/>
      <c r="Y113" s="1141"/>
      <c r="Z113" s="1142"/>
      <c r="AA113" s="1137"/>
      <c r="AB113" s="1138"/>
      <c r="AC113" s="1139"/>
      <c r="AD113" s="1131"/>
      <c r="AE113" s="1139"/>
      <c r="AF113" s="1131"/>
      <c r="AG113" s="1139"/>
      <c r="AH113" s="1140"/>
      <c r="AI113" s="1122"/>
      <c r="AJ113" s="1144"/>
      <c r="AK113" s="1145"/>
      <c r="AL113" s="1146"/>
    </row>
    <row r="114" spans="1:38" ht="18.75">
      <c r="A114" s="1136"/>
      <c r="B114" s="1166"/>
      <c r="C114" s="1128"/>
      <c r="D114" s="1127">
        <v>3</v>
      </c>
      <c r="E114" s="1127" t="s">
        <v>1279</v>
      </c>
      <c r="F114" s="1129">
        <v>0.3</v>
      </c>
      <c r="G114" s="1129">
        <v>0.16</v>
      </c>
      <c r="H114" s="1129">
        <v>1.5</v>
      </c>
      <c r="I114" s="1181">
        <v>1</v>
      </c>
      <c r="J114" s="1131">
        <v>8</v>
      </c>
      <c r="K114" s="1132"/>
      <c r="L114" s="1133">
        <f>I114*(((F114*G114*H114)/2)*J114)</f>
        <v>0.28800000000000003</v>
      </c>
      <c r="M114" s="1127" t="s">
        <v>1280</v>
      </c>
      <c r="N114" s="1134">
        <f>I114*(G114*H114*J114)</f>
        <v>1.92</v>
      </c>
      <c r="O114" s="1094"/>
      <c r="P114" s="1182" t="s">
        <v>1281</v>
      </c>
      <c r="Q114" s="1136">
        <v>8</v>
      </c>
      <c r="R114" s="1137"/>
      <c r="S114" s="1138">
        <v>1</v>
      </c>
      <c r="T114" s="1139">
        <f>(H114+0.4)-0.06</f>
        <v>1.8399999999999999</v>
      </c>
      <c r="U114" s="1131">
        <v>2</v>
      </c>
      <c r="V114" s="1139">
        <f>6*Q114/1000</f>
        <v>4.8000000000000001E-2</v>
      </c>
      <c r="W114" s="1140">
        <v>8</v>
      </c>
      <c r="X114" s="1122">
        <f>I114*((((T114)+(V114*U114)*S114)*W114))</f>
        <v>15.488</v>
      </c>
      <c r="Y114" s="1183" t="s">
        <v>1282</v>
      </c>
      <c r="Z114" s="1142">
        <v>13</v>
      </c>
      <c r="AA114" s="1137">
        <v>0.15</v>
      </c>
      <c r="AB114" s="1138">
        <f>($G$19)/AA114+1</f>
        <v>2</v>
      </c>
      <c r="AC114" s="1139">
        <v>4.83</v>
      </c>
      <c r="AD114" s="1131">
        <v>2</v>
      </c>
      <c r="AE114" s="1139">
        <f>6*Z114/1000</f>
        <v>7.8E-2</v>
      </c>
      <c r="AF114" s="1131">
        <v>2</v>
      </c>
      <c r="AG114" s="1143">
        <f t="shared" ref="AG114:AG118" si="87">(40*Z114/1000)*AF114</f>
        <v>1.04</v>
      </c>
      <c r="AH114" s="1140">
        <v>1</v>
      </c>
      <c r="AI114" s="1122">
        <f>$J$11*((((AC114)+(AE114*AD114)+(AG114*AF114))*AH114)*AB114)</f>
        <v>113.056</v>
      </c>
      <c r="AJ114" s="1144">
        <f t="shared" ref="AJ114:AJ119" si="88">((IF(Q114=$AK$7,X114,0)+(IF(Z114=$AK$7,AI114,0))))*$AK$9</f>
        <v>0</v>
      </c>
      <c r="AK114" s="1145">
        <f t="shared" ref="AK114:AK119" si="89">((IF(Q114=$AL$7,X114,0)+(IF(Z114=$AL$7,AI114,0))))*$AL$9</f>
        <v>117.82319466666667</v>
      </c>
      <c r="AL114" s="1146">
        <f t="shared" ref="AL114:AL119" si="90">((IF(Q114=$AM$7,X114,0)+(IF(Z114=$AM$7,AI114,0))))*$AM$9</f>
        <v>0</v>
      </c>
    </row>
    <row r="115" spans="1:38" ht="18.75">
      <c r="A115" s="1126"/>
      <c r="B115" s="1127"/>
      <c r="C115" s="1128"/>
      <c r="D115" s="1127"/>
      <c r="E115" s="1127" t="s">
        <v>1283</v>
      </c>
      <c r="F115" s="1129">
        <v>1.5</v>
      </c>
      <c r="G115" s="1129">
        <v>0.15</v>
      </c>
      <c r="H115" s="1129">
        <v>2.72</v>
      </c>
      <c r="I115" s="1130">
        <v>1</v>
      </c>
      <c r="J115" s="1131"/>
      <c r="K115" s="1132"/>
      <c r="L115" s="1133">
        <f>I115*(F115*G115*H115)</f>
        <v>0.61199999999999999</v>
      </c>
      <c r="M115" s="1127" t="s">
        <v>1284</v>
      </c>
      <c r="N115" s="1134"/>
      <c r="O115" s="1094"/>
      <c r="P115" s="1135" t="s">
        <v>1285</v>
      </c>
      <c r="Q115" s="1136">
        <v>8</v>
      </c>
      <c r="R115" s="1137">
        <v>0.2</v>
      </c>
      <c r="S115" s="1138">
        <f>(H114/R115+1)</f>
        <v>8.5</v>
      </c>
      <c r="T115" s="1139">
        <f>(F114+G114+0.3)-(0.03*2)</f>
        <v>0.7</v>
      </c>
      <c r="U115" s="1131">
        <v>2</v>
      </c>
      <c r="V115" s="1139">
        <f>6*Q115/1000</f>
        <v>4.8000000000000001E-2</v>
      </c>
      <c r="W115" s="1140">
        <v>8</v>
      </c>
      <c r="X115" s="1122">
        <f>I114*(((((T115)+(V115*U115))*S115)*W115))</f>
        <v>54.127999999999993</v>
      </c>
      <c r="Y115" s="1141" t="s">
        <v>1286</v>
      </c>
      <c r="Z115" s="1142">
        <v>13</v>
      </c>
      <c r="AA115" s="1137">
        <v>0.15</v>
      </c>
      <c r="AB115" s="1138">
        <f>($G$19)/AA115+1</f>
        <v>2</v>
      </c>
      <c r="AC115" s="1139">
        <f>0.71+2.72</f>
        <v>3.43</v>
      </c>
      <c r="AD115" s="1131">
        <v>2</v>
      </c>
      <c r="AE115" s="1139">
        <f>6*Z115/1000</f>
        <v>7.8E-2</v>
      </c>
      <c r="AF115" s="1131">
        <v>2</v>
      </c>
      <c r="AG115" s="1143">
        <f t="shared" si="87"/>
        <v>1.04</v>
      </c>
      <c r="AH115" s="1140">
        <v>1</v>
      </c>
      <c r="AI115" s="1122">
        <f t="shared" ref="AI115:AI116" si="91">$J$11*((((AC115)+(AE115*AD115)+(AG115*AF115))*AH115)*AB115)</f>
        <v>90.656000000000006</v>
      </c>
      <c r="AJ115" s="1144">
        <f t="shared" si="88"/>
        <v>0</v>
      </c>
      <c r="AK115" s="1145">
        <f t="shared" si="89"/>
        <v>94.478661333333335</v>
      </c>
      <c r="AL115" s="1146">
        <f t="shared" si="90"/>
        <v>0</v>
      </c>
    </row>
    <row r="116" spans="1:38" ht="18.75">
      <c r="A116" s="1126"/>
      <c r="B116" s="1127"/>
      <c r="C116" s="1128"/>
      <c r="D116" s="1127"/>
      <c r="E116" s="1127"/>
      <c r="F116" s="1129"/>
      <c r="G116" s="1129"/>
      <c r="H116" s="1129"/>
      <c r="I116" s="1130"/>
      <c r="J116" s="1131"/>
      <c r="K116" s="1132"/>
      <c r="L116" s="1133">
        <f>I116*(F116*G116*H116)</f>
        <v>0</v>
      </c>
      <c r="M116" s="1127" t="s">
        <v>1288</v>
      </c>
      <c r="N116" s="1134"/>
      <c r="O116" s="1094"/>
      <c r="P116" s="1135"/>
      <c r="Q116" s="1136"/>
      <c r="R116" s="1137"/>
      <c r="S116" s="1138"/>
      <c r="T116" s="1139"/>
      <c r="U116" s="1131"/>
      <c r="V116" s="1139"/>
      <c r="W116" s="1140"/>
      <c r="X116" s="1122"/>
      <c r="Y116" s="1141" t="s">
        <v>1289</v>
      </c>
      <c r="Z116" s="1142">
        <v>13</v>
      </c>
      <c r="AA116" s="1137">
        <v>0.15</v>
      </c>
      <c r="AB116" s="1138">
        <f>($G$19)/AA116+1</f>
        <v>2</v>
      </c>
      <c r="AC116" s="1139">
        <v>2.11</v>
      </c>
      <c r="AD116" s="1131">
        <v>2</v>
      </c>
      <c r="AE116" s="1139">
        <f>6*Z116/1000</f>
        <v>7.8E-2</v>
      </c>
      <c r="AF116" s="1131">
        <v>2</v>
      </c>
      <c r="AG116" s="1143">
        <f t="shared" si="87"/>
        <v>1.04</v>
      </c>
      <c r="AH116" s="1140">
        <v>1</v>
      </c>
      <c r="AI116" s="1122">
        <f t="shared" si="91"/>
        <v>69.536000000000001</v>
      </c>
      <c r="AJ116" s="1144">
        <f t="shared" si="88"/>
        <v>0</v>
      </c>
      <c r="AK116" s="1145">
        <f t="shared" si="89"/>
        <v>72.468101333333337</v>
      </c>
      <c r="AL116" s="1146">
        <f t="shared" si="90"/>
        <v>0</v>
      </c>
    </row>
    <row r="117" spans="1:38" ht="18.75">
      <c r="A117" s="1126"/>
      <c r="B117" s="1127"/>
      <c r="C117" s="1128"/>
      <c r="D117" s="1127"/>
      <c r="E117" s="1127"/>
      <c r="F117" s="1129"/>
      <c r="G117" s="1129"/>
      <c r="H117" s="1129"/>
      <c r="I117" s="1130"/>
      <c r="J117" s="1131"/>
      <c r="K117" s="1132"/>
      <c r="L117" s="1133"/>
      <c r="M117" s="1127" t="s">
        <v>1290</v>
      </c>
      <c r="N117" s="1134"/>
      <c r="O117" s="1094"/>
      <c r="P117" s="1135"/>
      <c r="Q117" s="1136"/>
      <c r="R117" s="1137"/>
      <c r="S117" s="1138"/>
      <c r="T117" s="1139"/>
      <c r="U117" s="1131"/>
      <c r="V117" s="1139"/>
      <c r="W117" s="1140"/>
      <c r="X117" s="1145"/>
      <c r="Y117" s="1184" t="s">
        <v>1294</v>
      </c>
      <c r="Z117" s="1137">
        <v>13</v>
      </c>
      <c r="AA117" s="1137">
        <v>0.15</v>
      </c>
      <c r="AB117" s="1138">
        <f>($G$19)/AA117+1</f>
        <v>2</v>
      </c>
      <c r="AC117" s="1139">
        <v>0.71</v>
      </c>
      <c r="AD117" s="1131">
        <v>2</v>
      </c>
      <c r="AE117" s="1139">
        <f t="shared" ref="AE117:AE118" si="92">6*Z117/1000</f>
        <v>7.8E-2</v>
      </c>
      <c r="AF117" s="1131">
        <v>2</v>
      </c>
      <c r="AG117" s="1143">
        <f t="shared" si="87"/>
        <v>1.04</v>
      </c>
      <c r="AH117" s="1140">
        <v>2</v>
      </c>
      <c r="AI117" s="1122">
        <f>$J$11*((((AC117)+(AE117*AD117)+(AG117*AF117))*AH117)*AB117)</f>
        <v>94.272000000000006</v>
      </c>
      <c r="AJ117" s="1144">
        <f t="shared" si="88"/>
        <v>0</v>
      </c>
      <c r="AK117" s="1145">
        <f t="shared" si="89"/>
        <v>98.247136000000012</v>
      </c>
      <c r="AL117" s="1146">
        <f t="shared" si="90"/>
        <v>0</v>
      </c>
    </row>
    <row r="118" spans="1:38" ht="18.75">
      <c r="A118" s="1126"/>
      <c r="B118" s="1127"/>
      <c r="C118" s="1128"/>
      <c r="D118" s="1127"/>
      <c r="E118" s="1127"/>
      <c r="F118" s="1129"/>
      <c r="G118" s="1129"/>
      <c r="H118" s="1129"/>
      <c r="I118" s="1130"/>
      <c r="J118" s="1131"/>
      <c r="K118" s="1132"/>
      <c r="L118" s="1133"/>
      <c r="M118" s="1127" t="s">
        <v>1292</v>
      </c>
      <c r="N118" s="1134">
        <f>I115*(F115*H115)</f>
        <v>4.08</v>
      </c>
      <c r="O118" s="1094"/>
      <c r="P118" s="1135"/>
      <c r="Q118" s="1136"/>
      <c r="R118" s="1137"/>
      <c r="S118" s="1138"/>
      <c r="T118" s="1139"/>
      <c r="U118" s="1131"/>
      <c r="V118" s="1139"/>
      <c r="W118" s="1140"/>
      <c r="X118" s="1122"/>
      <c r="Y118" s="1141" t="s">
        <v>1291</v>
      </c>
      <c r="Z118" s="1142">
        <v>8</v>
      </c>
      <c r="AA118" s="1137">
        <v>0.15</v>
      </c>
      <c r="AB118" s="1138">
        <f>(H115)/AA118+1</f>
        <v>19.133333333333336</v>
      </c>
      <c r="AC118" s="1139">
        <f>(F115+0.3)-0.06</f>
        <v>1.74</v>
      </c>
      <c r="AD118" s="1131">
        <v>2</v>
      </c>
      <c r="AE118" s="1139">
        <f t="shared" si="92"/>
        <v>4.8000000000000001E-2</v>
      </c>
      <c r="AF118" s="1131">
        <v>0</v>
      </c>
      <c r="AG118" s="1143">
        <f t="shared" si="87"/>
        <v>0</v>
      </c>
      <c r="AH118" s="1140">
        <v>2</v>
      </c>
      <c r="AI118" s="1122">
        <f>$J$11*((((AC118)+(AE118*AD118)+(AG118*AF118))*AH118)*AB118)</f>
        <v>562.06080000000009</v>
      </c>
      <c r="AJ118" s="1144">
        <f t="shared" si="88"/>
        <v>0</v>
      </c>
      <c r="AK118" s="1145">
        <f t="shared" si="89"/>
        <v>0</v>
      </c>
      <c r="AL118" s="1146">
        <f t="shared" si="90"/>
        <v>0</v>
      </c>
    </row>
    <row r="119" spans="1:38" ht="19.5" thickBot="1">
      <c r="A119" s="1126"/>
      <c r="B119" s="1127"/>
      <c r="C119" s="1128"/>
      <c r="D119" s="1127"/>
      <c r="E119" s="1127"/>
      <c r="F119" s="1129"/>
      <c r="G119" s="1129"/>
      <c r="H119" s="1129"/>
      <c r="I119" s="1130"/>
      <c r="J119" s="1131"/>
      <c r="K119" s="1132"/>
      <c r="L119" s="1133"/>
      <c r="M119" s="1127"/>
      <c r="N119" s="1134"/>
      <c r="O119" s="1094"/>
      <c r="P119" s="1135"/>
      <c r="Q119" s="1136"/>
      <c r="R119" s="1137"/>
      <c r="S119" s="1138"/>
      <c r="T119" s="1139"/>
      <c r="U119" s="1131"/>
      <c r="V119" s="1139"/>
      <c r="W119" s="1140"/>
      <c r="X119" s="1122"/>
      <c r="Y119" s="1141"/>
      <c r="Z119" s="1142"/>
      <c r="AA119" s="1137"/>
      <c r="AB119" s="1138"/>
      <c r="AC119" s="1139"/>
      <c r="AD119" s="1131"/>
      <c r="AE119" s="1139"/>
      <c r="AF119" s="1131"/>
      <c r="AG119" s="1139"/>
      <c r="AH119" s="1140"/>
      <c r="AI119" s="1122"/>
      <c r="AJ119" s="1144">
        <f t="shared" si="88"/>
        <v>0</v>
      </c>
      <c r="AK119" s="1145">
        <f t="shared" si="89"/>
        <v>0</v>
      </c>
      <c r="AL119" s="1146">
        <f t="shared" si="90"/>
        <v>0</v>
      </c>
    </row>
    <row r="120" spans="1:38" ht="20.25" thickTop="1" thickBot="1">
      <c r="A120" s="1188"/>
      <c r="B120" s="1189"/>
      <c r="C120" s="1190"/>
      <c r="D120" s="1189"/>
      <c r="E120" s="1191" t="s">
        <v>468</v>
      </c>
      <c r="F120" s="1192"/>
      <c r="G120" s="1192"/>
      <c r="H120" s="1192"/>
      <c r="I120" s="1192"/>
      <c r="J120" s="1192"/>
      <c r="K120" s="1193"/>
      <c r="L120" s="1194">
        <f>SUM(L99:L119)</f>
        <v>3.5158499999999995</v>
      </c>
      <c r="M120" s="1189"/>
      <c r="N120" s="1194">
        <f>SUM(N99:N119)</f>
        <v>23.439</v>
      </c>
      <c r="O120" s="1195"/>
      <c r="P120" s="1196"/>
      <c r="Q120" s="1188"/>
      <c r="R120" s="1197"/>
      <c r="S120" s="1198"/>
      <c r="T120" s="1199"/>
      <c r="U120" s="1200"/>
      <c r="V120" s="1199"/>
      <c r="W120" s="1201"/>
      <c r="X120" s="1202"/>
      <c r="Y120" s="1203"/>
      <c r="Z120" s="1204"/>
      <c r="AA120" s="1197"/>
      <c r="AB120" s="1198"/>
      <c r="AC120" s="1199"/>
      <c r="AD120" s="1200"/>
      <c r="AE120" s="1199"/>
      <c r="AF120" s="1200"/>
      <c r="AG120" s="1199"/>
      <c r="AH120" s="1201"/>
      <c r="AI120" s="1202"/>
      <c r="AJ120" s="1205">
        <f>SUM(AJ99:AJ119)</f>
        <v>0</v>
      </c>
      <c r="AK120" s="1205">
        <f t="shared" ref="AK120:AL120" si="93">SUM(AK99:AK119)</f>
        <v>1195.4068533333334</v>
      </c>
      <c r="AL120" s="1206">
        <f t="shared" si="93"/>
        <v>0</v>
      </c>
    </row>
    <row r="121" spans="1:38" ht="19.5" thickTop="1">
      <c r="A121" s="1104">
        <v>1</v>
      </c>
      <c r="B121" s="1105" t="s">
        <v>1277</v>
      </c>
      <c r="C121" s="1106" t="s">
        <v>389</v>
      </c>
      <c r="D121" s="1105">
        <v>1</v>
      </c>
      <c r="E121" s="1105" t="s">
        <v>1279</v>
      </c>
      <c r="F121" s="1107">
        <v>0.3</v>
      </c>
      <c r="G121" s="1107">
        <v>0.16</v>
      </c>
      <c r="H121" s="1107">
        <v>1.5</v>
      </c>
      <c r="I121" s="1108">
        <v>1</v>
      </c>
      <c r="J121" s="1109">
        <v>8</v>
      </c>
      <c r="K121" s="1110"/>
      <c r="L121" s="1111">
        <f>I121*(((F121*G121*H121)/2)*J121)</f>
        <v>0.28800000000000003</v>
      </c>
      <c r="M121" s="1105" t="s">
        <v>1280</v>
      </c>
      <c r="N121" s="1112">
        <f>I121*(G121*H121*J121)</f>
        <v>1.92</v>
      </c>
      <c r="O121" s="1113"/>
      <c r="P121" s="1182" t="s">
        <v>1281</v>
      </c>
      <c r="Q121" s="1136">
        <v>8</v>
      </c>
      <c r="R121" s="1137"/>
      <c r="S121" s="1138">
        <v>1</v>
      </c>
      <c r="T121" s="1139">
        <f>(H121+0.4)-0.06</f>
        <v>1.8399999999999999</v>
      </c>
      <c r="U121" s="1131">
        <v>2</v>
      </c>
      <c r="V121" s="1139">
        <f>6*Q121/1000</f>
        <v>4.8000000000000001E-2</v>
      </c>
      <c r="W121" s="1140">
        <v>8</v>
      </c>
      <c r="X121" s="1122">
        <f>I121*((((T121)+(V121*U121)*S121)*W121))</f>
        <v>15.488</v>
      </c>
      <c r="Y121" s="1183" t="s">
        <v>1282</v>
      </c>
      <c r="Z121" s="1142">
        <v>13</v>
      </c>
      <c r="AA121" s="1137">
        <v>0.15</v>
      </c>
      <c r="AB121" s="1138">
        <f>($G$19)/AA121+1</f>
        <v>2</v>
      </c>
      <c r="AC121" s="1139">
        <v>3.77</v>
      </c>
      <c r="AD121" s="1131">
        <v>2</v>
      </c>
      <c r="AE121" s="1139">
        <f>6*Z121/1000</f>
        <v>7.8E-2</v>
      </c>
      <c r="AF121" s="1131">
        <v>2</v>
      </c>
      <c r="AG121" s="1143">
        <f t="shared" ref="AG121:AG125" si="94">(40*Z121/1000)*AF121</f>
        <v>1.04</v>
      </c>
      <c r="AH121" s="1140">
        <v>1</v>
      </c>
      <c r="AI121" s="1122">
        <f>$J$11*((((AC121)+(AE121*AD121)+(AG121*AF121))*AH121)*AB121)</f>
        <v>96.096000000000004</v>
      </c>
      <c r="AJ121" s="1123">
        <f t="shared" ref="AJ121:AJ126" si="95">((IF(Q121=$AK$7,X121,0)+(IF(Z121=$AK$7,AI121,0))))*$AK$9</f>
        <v>0</v>
      </c>
      <c r="AK121" s="1124">
        <f t="shared" ref="AK121:AK126" si="96">((IF(Q121=$AL$7,X121,0)+(IF(Z121=$AL$7,AI121,0))))*$AL$9</f>
        <v>100.148048</v>
      </c>
      <c r="AL121" s="1125">
        <f>((IF(Q121=$AM$7,X121,0)+(IF(Z121=$AM$7,AI121,0))))*$AM$9</f>
        <v>0</v>
      </c>
    </row>
    <row r="122" spans="1:38" ht="18.75">
      <c r="A122" s="1126"/>
      <c r="B122" s="1127"/>
      <c r="C122" s="1128"/>
      <c r="D122" s="1127"/>
      <c r="E122" s="1127" t="s">
        <v>1283</v>
      </c>
      <c r="F122" s="1129">
        <v>1.5</v>
      </c>
      <c r="G122" s="1129">
        <v>0.15</v>
      </c>
      <c r="H122" s="1129">
        <v>2.4</v>
      </c>
      <c r="I122" s="1130">
        <v>1</v>
      </c>
      <c r="J122" s="1131"/>
      <c r="K122" s="1132"/>
      <c r="L122" s="1133">
        <f>I122*(F122*G122*H122)</f>
        <v>0.53999999999999992</v>
      </c>
      <c r="M122" s="1127" t="s">
        <v>1284</v>
      </c>
      <c r="N122" s="1134"/>
      <c r="O122" s="1094"/>
      <c r="P122" s="1135" t="s">
        <v>1285</v>
      </c>
      <c r="Q122" s="1136">
        <v>8</v>
      </c>
      <c r="R122" s="1137">
        <v>0.2</v>
      </c>
      <c r="S122" s="1138">
        <f>(H121/R122+1)</f>
        <v>8.5</v>
      </c>
      <c r="T122" s="1139">
        <f>(F121+G121+0.3)-(0.03*2)</f>
        <v>0.7</v>
      </c>
      <c r="U122" s="1131">
        <v>2</v>
      </c>
      <c r="V122" s="1139">
        <f>6*Q122/1000</f>
        <v>4.8000000000000001E-2</v>
      </c>
      <c r="W122" s="1140">
        <v>8</v>
      </c>
      <c r="X122" s="1122">
        <f>I121*(((((T122)+(V122*U122))*S122)*W122))</f>
        <v>54.127999999999993</v>
      </c>
      <c r="Y122" s="1141" t="s">
        <v>1286</v>
      </c>
      <c r="Z122" s="1142">
        <v>13</v>
      </c>
      <c r="AA122" s="1137">
        <v>0.15</v>
      </c>
      <c r="AB122" s="1138">
        <f>($G$19)/AA122+1</f>
        <v>2</v>
      </c>
      <c r="AC122" s="1139">
        <v>4.12</v>
      </c>
      <c r="AD122" s="1131">
        <v>2</v>
      </c>
      <c r="AE122" s="1139">
        <f>6*Z122/1000</f>
        <v>7.8E-2</v>
      </c>
      <c r="AF122" s="1131">
        <v>2</v>
      </c>
      <c r="AG122" s="1143">
        <f t="shared" si="94"/>
        <v>1.04</v>
      </c>
      <c r="AH122" s="1140">
        <v>1</v>
      </c>
      <c r="AI122" s="1122">
        <f t="shared" ref="AI122:AI123" si="97">$J$11*((((AC122)+(AE122*AD122)+(AG122*AF122))*AH122)*AB122)</f>
        <v>101.696</v>
      </c>
      <c r="AJ122" s="1144">
        <f t="shared" si="95"/>
        <v>0</v>
      </c>
      <c r="AK122" s="1145">
        <f t="shared" si="96"/>
        <v>105.98418133333334</v>
      </c>
      <c r="AL122" s="1146">
        <f t="shared" ref="AL122:AL133" si="98">((IF(Q122=$AM$7,X122,0)+(IF(Z122=$AM$7,AI122,0))))*$AM$9</f>
        <v>0</v>
      </c>
    </row>
    <row r="123" spans="1:38" ht="18.75">
      <c r="A123" s="1126"/>
      <c r="B123" s="1127"/>
      <c r="C123" s="1128"/>
      <c r="D123" s="1127"/>
      <c r="E123" s="1127" t="s">
        <v>1287</v>
      </c>
      <c r="F123" s="1129">
        <v>1.5</v>
      </c>
      <c r="G123" s="1129">
        <v>0.15</v>
      </c>
      <c r="H123" s="1129">
        <v>1.54</v>
      </c>
      <c r="I123" s="1130">
        <v>1</v>
      </c>
      <c r="J123" s="1131"/>
      <c r="K123" s="1132"/>
      <c r="L123" s="1133">
        <f>I123*(F123*G123*H123)</f>
        <v>0.34649999999999997</v>
      </c>
      <c r="M123" s="1127" t="s">
        <v>1288</v>
      </c>
      <c r="N123" s="1134"/>
      <c r="O123" s="1094"/>
      <c r="P123" s="1135"/>
      <c r="Q123" s="1136"/>
      <c r="R123" s="1137"/>
      <c r="S123" s="1138"/>
      <c r="T123" s="1139"/>
      <c r="U123" s="1131"/>
      <c r="V123" s="1139"/>
      <c r="W123" s="1140"/>
      <c r="X123" s="1122"/>
      <c r="Y123" s="1141" t="s">
        <v>1289</v>
      </c>
      <c r="Z123" s="1142">
        <v>13</v>
      </c>
      <c r="AA123" s="1137">
        <v>0.15</v>
      </c>
      <c r="AB123" s="1138">
        <f>($G$19)/AA123+1</f>
        <v>2</v>
      </c>
      <c r="AC123" s="1139">
        <v>1.37</v>
      </c>
      <c r="AD123" s="1131">
        <v>2</v>
      </c>
      <c r="AE123" s="1139">
        <f>6*Z123/1000</f>
        <v>7.8E-2</v>
      </c>
      <c r="AF123" s="1131">
        <v>2</v>
      </c>
      <c r="AG123" s="1143">
        <f t="shared" si="94"/>
        <v>1.04</v>
      </c>
      <c r="AH123" s="1140">
        <v>1</v>
      </c>
      <c r="AI123" s="1122">
        <f t="shared" si="97"/>
        <v>57.695999999999998</v>
      </c>
      <c r="AJ123" s="1144">
        <f t="shared" si="95"/>
        <v>0</v>
      </c>
      <c r="AK123" s="1145">
        <f t="shared" si="96"/>
        <v>60.128847999999998</v>
      </c>
      <c r="AL123" s="1146">
        <f t="shared" si="98"/>
        <v>0</v>
      </c>
    </row>
    <row r="124" spans="1:38" ht="18.75">
      <c r="A124" s="1126"/>
      <c r="B124" s="1127"/>
      <c r="C124" s="1128"/>
      <c r="D124" s="1127"/>
      <c r="E124" s="1127"/>
      <c r="F124" s="1129"/>
      <c r="G124" s="1129"/>
      <c r="H124" s="1129"/>
      <c r="I124" s="1130"/>
      <c r="J124" s="1131"/>
      <c r="K124" s="1132"/>
      <c r="L124" s="1133"/>
      <c r="M124" s="1127" t="s">
        <v>1290</v>
      </c>
      <c r="N124" s="1134"/>
      <c r="O124" s="1094"/>
      <c r="P124" s="1135"/>
      <c r="Q124" s="1136"/>
      <c r="R124" s="1137"/>
      <c r="S124" s="1138"/>
      <c r="T124" s="1139"/>
      <c r="U124" s="1131"/>
      <c r="V124" s="1139"/>
      <c r="W124" s="1140"/>
      <c r="X124" s="1145"/>
      <c r="Y124" s="1184" t="s">
        <v>1294</v>
      </c>
      <c r="Z124" s="1137">
        <v>13</v>
      </c>
      <c r="AA124" s="1137">
        <v>0.15</v>
      </c>
      <c r="AB124" s="1138">
        <f>($G$19)/AA124+1</f>
        <v>2</v>
      </c>
      <c r="AC124" s="1139">
        <v>1.74</v>
      </c>
      <c r="AD124" s="1131">
        <v>2</v>
      </c>
      <c r="AE124" s="1139">
        <f t="shared" ref="AE124:AE125" si="99">6*Z124/1000</f>
        <v>7.8E-2</v>
      </c>
      <c r="AF124" s="1131">
        <v>2</v>
      </c>
      <c r="AG124" s="1143">
        <f t="shared" si="94"/>
        <v>1.04</v>
      </c>
      <c r="AH124" s="1140">
        <v>2</v>
      </c>
      <c r="AI124" s="1122">
        <f>$J$11*((((AC124)+(AE124*AD124)+(AG124*AF124))*AH124)*AB124)</f>
        <v>127.232</v>
      </c>
      <c r="AJ124" s="1144">
        <f t="shared" si="95"/>
        <v>0</v>
      </c>
      <c r="AK124" s="1145">
        <f t="shared" si="96"/>
        <v>132.59694933333333</v>
      </c>
      <c r="AL124" s="1146">
        <f t="shared" si="98"/>
        <v>0</v>
      </c>
    </row>
    <row r="125" spans="1:38" ht="18.75">
      <c r="A125" s="1126"/>
      <c r="B125" s="1127"/>
      <c r="C125" s="1128"/>
      <c r="D125" s="1127"/>
      <c r="E125" s="1127"/>
      <c r="F125" s="1129"/>
      <c r="G125" s="1129"/>
      <c r="H125" s="1129"/>
      <c r="I125" s="1130"/>
      <c r="J125" s="1131"/>
      <c r="K125" s="1132"/>
      <c r="L125" s="1133"/>
      <c r="M125" s="1127" t="s">
        <v>1292</v>
      </c>
      <c r="N125" s="1134">
        <f>I122*(F122*H122)</f>
        <v>3.5999999999999996</v>
      </c>
      <c r="O125" s="1094"/>
      <c r="P125" s="1135"/>
      <c r="Q125" s="1136"/>
      <c r="R125" s="1137"/>
      <c r="S125" s="1138"/>
      <c r="T125" s="1139"/>
      <c r="U125" s="1131"/>
      <c r="V125" s="1139"/>
      <c r="W125" s="1140"/>
      <c r="X125" s="1122"/>
      <c r="Y125" s="1141" t="s">
        <v>1291</v>
      </c>
      <c r="Z125" s="1142">
        <v>8</v>
      </c>
      <c r="AA125" s="1137">
        <v>0.15</v>
      </c>
      <c r="AB125" s="1138">
        <f>(H122)/AA125+1</f>
        <v>17</v>
      </c>
      <c r="AC125" s="1139">
        <f>(F122+0.3)-0.06</f>
        <v>1.74</v>
      </c>
      <c r="AD125" s="1131">
        <v>2</v>
      </c>
      <c r="AE125" s="1139">
        <f t="shared" si="99"/>
        <v>4.8000000000000001E-2</v>
      </c>
      <c r="AF125" s="1131">
        <v>0</v>
      </c>
      <c r="AG125" s="1143">
        <f t="shared" si="94"/>
        <v>0</v>
      </c>
      <c r="AH125" s="1140">
        <v>2</v>
      </c>
      <c r="AI125" s="1122">
        <f>$J$11*((((AC125)+(AE125*AD125)+(AG125*AF125))*AH125)*AB125)</f>
        <v>499.392</v>
      </c>
      <c r="AJ125" s="1144">
        <f t="shared" si="95"/>
        <v>0</v>
      </c>
      <c r="AK125" s="1145">
        <f t="shared" si="96"/>
        <v>0</v>
      </c>
      <c r="AL125" s="1146">
        <f t="shared" si="98"/>
        <v>0</v>
      </c>
    </row>
    <row r="126" spans="1:38" ht="18.75">
      <c r="A126" s="1147"/>
      <c r="B126" s="1148"/>
      <c r="C126" s="1149"/>
      <c r="D126" s="1148"/>
      <c r="E126" s="1148"/>
      <c r="F126" s="1150"/>
      <c r="G126" s="1150"/>
      <c r="H126" s="1150"/>
      <c r="I126" s="1151"/>
      <c r="J126" s="1152"/>
      <c r="K126" s="1153"/>
      <c r="L126" s="1154"/>
      <c r="M126" s="1148" t="s">
        <v>1293</v>
      </c>
      <c r="N126" s="1155">
        <f>I123*(F123*H123)</f>
        <v>2.31</v>
      </c>
      <c r="O126" s="1094"/>
      <c r="P126" s="1156"/>
      <c r="Q126" s="1157"/>
      <c r="R126" s="1158"/>
      <c r="S126" s="1159"/>
      <c r="T126" s="1160"/>
      <c r="U126" s="1152"/>
      <c r="V126" s="1160"/>
      <c r="W126" s="1161"/>
      <c r="X126" s="1162"/>
      <c r="Y126" s="1163"/>
      <c r="Z126" s="1164"/>
      <c r="AA126" s="1158"/>
      <c r="AB126" s="1159"/>
      <c r="AC126" s="1160"/>
      <c r="AD126" s="1152"/>
      <c r="AE126" s="1160"/>
      <c r="AF126" s="1152"/>
      <c r="AG126" s="1160"/>
      <c r="AH126" s="1161"/>
      <c r="AI126" s="1162"/>
      <c r="AJ126" s="1102">
        <f t="shared" si="95"/>
        <v>0</v>
      </c>
      <c r="AK126" s="1165">
        <f t="shared" si="96"/>
        <v>0</v>
      </c>
      <c r="AL126" s="1146">
        <f t="shared" si="98"/>
        <v>0</v>
      </c>
    </row>
    <row r="127" spans="1:38" ht="18.75">
      <c r="A127" s="1126"/>
      <c r="B127" s="1166"/>
      <c r="C127" s="1167"/>
      <c r="D127" s="1166"/>
      <c r="E127" s="1166"/>
      <c r="F127" s="1168"/>
      <c r="G127" s="1168"/>
      <c r="H127" s="1168"/>
      <c r="I127" s="1130"/>
      <c r="J127" s="1169"/>
      <c r="K127" s="1170"/>
      <c r="L127" s="1171"/>
      <c r="M127" s="1166"/>
      <c r="N127" s="1172"/>
      <c r="O127" s="1173"/>
      <c r="P127" s="1135"/>
      <c r="Q127" s="1126"/>
      <c r="R127" s="1174"/>
      <c r="S127" s="1175"/>
      <c r="T127" s="1143"/>
      <c r="U127" s="1169"/>
      <c r="V127" s="1143"/>
      <c r="W127" s="1176"/>
      <c r="X127" s="1177"/>
      <c r="Y127" s="1141"/>
      <c r="Z127" s="1178"/>
      <c r="AA127" s="1174"/>
      <c r="AB127" s="1175"/>
      <c r="AC127" s="1143"/>
      <c r="AD127" s="1169"/>
      <c r="AE127" s="1143"/>
      <c r="AF127" s="1169"/>
      <c r="AG127" s="1143"/>
      <c r="AH127" s="1176"/>
      <c r="AI127" s="1177"/>
      <c r="AJ127" s="1179"/>
      <c r="AK127" s="1180"/>
      <c r="AL127" s="1146">
        <f t="shared" si="98"/>
        <v>0</v>
      </c>
    </row>
    <row r="128" spans="1:38" ht="18.75">
      <c r="A128" s="1136"/>
      <c r="B128" s="1127"/>
      <c r="C128" s="1128"/>
      <c r="D128" s="1127">
        <v>2</v>
      </c>
      <c r="E128" s="1127" t="s">
        <v>1279</v>
      </c>
      <c r="F128" s="1129">
        <v>0.3</v>
      </c>
      <c r="G128" s="1129">
        <v>0.16</v>
      </c>
      <c r="H128" s="1129">
        <v>1.5</v>
      </c>
      <c r="I128" s="1181">
        <v>1</v>
      </c>
      <c r="J128" s="1131">
        <v>7</v>
      </c>
      <c r="K128" s="1132"/>
      <c r="L128" s="1133">
        <f>I128*(((F128*G128*H128)/2)*J128)</f>
        <v>0.252</v>
      </c>
      <c r="M128" s="1127" t="s">
        <v>1280</v>
      </c>
      <c r="N128" s="1134">
        <f>I128*(G128*H128*J128)</f>
        <v>1.68</v>
      </c>
      <c r="O128" s="1094"/>
      <c r="P128" s="1182" t="s">
        <v>1281</v>
      </c>
      <c r="Q128" s="1136">
        <v>8</v>
      </c>
      <c r="R128" s="1137"/>
      <c r="S128" s="1138">
        <v>1</v>
      </c>
      <c r="T128" s="1139">
        <f>(H128+0.4)-0.06</f>
        <v>1.8399999999999999</v>
      </c>
      <c r="U128" s="1131">
        <v>2</v>
      </c>
      <c r="V128" s="1139">
        <f>6*Q128/1000</f>
        <v>4.8000000000000001E-2</v>
      </c>
      <c r="W128" s="1140">
        <v>9</v>
      </c>
      <c r="X128" s="1122">
        <f>I128*((((T128)+(V128*U128)*S128)*W128))</f>
        <v>17.423999999999999</v>
      </c>
      <c r="Y128" s="1183" t="s">
        <v>1282</v>
      </c>
      <c r="Z128" s="1142">
        <v>13</v>
      </c>
      <c r="AA128" s="1137">
        <v>0.15</v>
      </c>
      <c r="AB128" s="1138">
        <f>($G$19)/AA128+1</f>
        <v>2</v>
      </c>
      <c r="AC128" s="1139">
        <f>1.5+3.06</f>
        <v>4.5600000000000005</v>
      </c>
      <c r="AD128" s="1131">
        <v>2</v>
      </c>
      <c r="AE128" s="1139">
        <f>6*Z128/1000</f>
        <v>7.8E-2</v>
      </c>
      <c r="AF128" s="1131">
        <v>2</v>
      </c>
      <c r="AG128" s="1143">
        <f t="shared" ref="AG128:AG132" si="100">(40*Z128/1000)*AF128</f>
        <v>1.04</v>
      </c>
      <c r="AH128" s="1140">
        <v>1</v>
      </c>
      <c r="AI128" s="1122">
        <f>$J$11*((((AC128)+(AE128*AD128)+(AG128*AF128))*AH128)*AB128)</f>
        <v>108.736</v>
      </c>
      <c r="AJ128" s="1144">
        <f t="shared" ref="AJ128:AJ133" si="101">((IF(Q128=$AK$7,X128,0)+(IF(Z128=$AK$7,AI128,0))))*$AK$9</f>
        <v>0</v>
      </c>
      <c r="AK128" s="1145">
        <f t="shared" ref="AK128:AK133" si="102">((IF(Q128=$AL$7,X128,0)+(IF(Z128=$AL$7,AI128,0))))*$AL$9</f>
        <v>113.32103466666668</v>
      </c>
      <c r="AL128" s="1146">
        <f t="shared" si="98"/>
        <v>0</v>
      </c>
    </row>
    <row r="129" spans="1:38" ht="18.75">
      <c r="A129" s="1126"/>
      <c r="B129" s="1127"/>
      <c r="C129" s="1128"/>
      <c r="D129" s="1127"/>
      <c r="E129" s="1127" t="s">
        <v>1283</v>
      </c>
      <c r="F129" s="1129">
        <v>1.5</v>
      </c>
      <c r="G129" s="1129">
        <v>0.15</v>
      </c>
      <c r="H129" s="1129">
        <v>2.38</v>
      </c>
      <c r="I129" s="1130">
        <v>1</v>
      </c>
      <c r="J129" s="1131"/>
      <c r="K129" s="1132"/>
      <c r="L129" s="1133">
        <f>I129*(F129*G129*H129)</f>
        <v>0.53549999999999998</v>
      </c>
      <c r="M129" s="1127" t="s">
        <v>1284</v>
      </c>
      <c r="N129" s="1134"/>
      <c r="O129" s="1094"/>
      <c r="P129" s="1135" t="s">
        <v>1285</v>
      </c>
      <c r="Q129" s="1136">
        <v>8</v>
      </c>
      <c r="R129" s="1137">
        <v>0.2</v>
      </c>
      <c r="S129" s="1138">
        <f>(H128/R129+1)</f>
        <v>8.5</v>
      </c>
      <c r="T129" s="1139">
        <f>(F128+G128+0.3)-(0.03*2)</f>
        <v>0.7</v>
      </c>
      <c r="U129" s="1131">
        <v>2</v>
      </c>
      <c r="V129" s="1139">
        <f>6*Q129/1000</f>
        <v>4.8000000000000001E-2</v>
      </c>
      <c r="W129" s="1140">
        <v>9</v>
      </c>
      <c r="X129" s="1122">
        <f>I128*(((((T129)+(V129*U129))*S129)*W129))</f>
        <v>60.893999999999991</v>
      </c>
      <c r="Y129" s="1141" t="s">
        <v>1286</v>
      </c>
      <c r="Z129" s="1142">
        <v>13</v>
      </c>
      <c r="AA129" s="1137">
        <v>0.15</v>
      </c>
      <c r="AB129" s="1138">
        <f>($G$19)/AA129+1</f>
        <v>2</v>
      </c>
      <c r="AC129" s="1139">
        <f>1.5+3.06</f>
        <v>4.5600000000000005</v>
      </c>
      <c r="AD129" s="1131">
        <v>2</v>
      </c>
      <c r="AE129" s="1139">
        <f>6*Z129/1000</f>
        <v>7.8E-2</v>
      </c>
      <c r="AF129" s="1131">
        <v>2</v>
      </c>
      <c r="AG129" s="1143">
        <f t="shared" si="100"/>
        <v>1.04</v>
      </c>
      <c r="AH129" s="1140">
        <v>1</v>
      </c>
      <c r="AI129" s="1122">
        <f t="shared" ref="AI129:AI130" si="103">$J$11*((((AC129)+(AE129*AD129)+(AG129*AF129))*AH129)*AB129)</f>
        <v>108.736</v>
      </c>
      <c r="AJ129" s="1144">
        <f t="shared" si="101"/>
        <v>0</v>
      </c>
      <c r="AK129" s="1145">
        <f t="shared" si="102"/>
        <v>113.32103466666668</v>
      </c>
      <c r="AL129" s="1146">
        <f t="shared" si="98"/>
        <v>0</v>
      </c>
    </row>
    <row r="130" spans="1:38" ht="18.75">
      <c r="A130" s="1126"/>
      <c r="B130" s="1127"/>
      <c r="C130" s="1128"/>
      <c r="D130" s="1127"/>
      <c r="E130" s="1127" t="s">
        <v>1287</v>
      </c>
      <c r="F130" s="1129">
        <v>1.5</v>
      </c>
      <c r="G130" s="1129">
        <v>0.15</v>
      </c>
      <c r="H130" s="1129">
        <v>2.11</v>
      </c>
      <c r="I130" s="1130">
        <v>1</v>
      </c>
      <c r="J130" s="1131"/>
      <c r="K130" s="1132"/>
      <c r="L130" s="1133">
        <f>I130*(F130*G130*H130)</f>
        <v>0.47474999999999995</v>
      </c>
      <c r="M130" s="1127" t="s">
        <v>1288</v>
      </c>
      <c r="N130" s="1134"/>
      <c r="O130" s="1094"/>
      <c r="P130" s="1135"/>
      <c r="Q130" s="1136"/>
      <c r="R130" s="1137"/>
      <c r="S130" s="1138"/>
      <c r="T130" s="1139"/>
      <c r="U130" s="1131"/>
      <c r="V130" s="1139"/>
      <c r="W130" s="1140"/>
      <c r="X130" s="1122"/>
      <c r="Y130" s="1141" t="s">
        <v>1289</v>
      </c>
      <c r="Z130" s="1142">
        <v>13</v>
      </c>
      <c r="AA130" s="1137">
        <v>0.15</v>
      </c>
      <c r="AB130" s="1138">
        <f>($G$19)/AA130+1</f>
        <v>2</v>
      </c>
      <c r="AC130" s="1139">
        <v>1.5</v>
      </c>
      <c r="AD130" s="1131">
        <v>2</v>
      </c>
      <c r="AE130" s="1139">
        <f>6*Z130/1000</f>
        <v>7.8E-2</v>
      </c>
      <c r="AF130" s="1131">
        <v>2</v>
      </c>
      <c r="AG130" s="1143">
        <f t="shared" si="100"/>
        <v>1.04</v>
      </c>
      <c r="AH130" s="1140">
        <v>1</v>
      </c>
      <c r="AI130" s="1122">
        <f t="shared" si="103"/>
        <v>59.775999999999996</v>
      </c>
      <c r="AJ130" s="1144">
        <f t="shared" si="101"/>
        <v>0</v>
      </c>
      <c r="AK130" s="1145">
        <f t="shared" si="102"/>
        <v>62.296554666666665</v>
      </c>
      <c r="AL130" s="1146">
        <f t="shared" si="98"/>
        <v>0</v>
      </c>
    </row>
    <row r="131" spans="1:38" ht="18.75">
      <c r="A131" s="1126"/>
      <c r="B131" s="1127"/>
      <c r="C131" s="1128"/>
      <c r="D131" s="1127"/>
      <c r="E131" s="1127"/>
      <c r="F131" s="1129"/>
      <c r="G131" s="1129"/>
      <c r="H131" s="1129"/>
      <c r="I131" s="1130"/>
      <c r="J131" s="1131"/>
      <c r="K131" s="1132"/>
      <c r="L131" s="1133"/>
      <c r="M131" s="1127" t="s">
        <v>1290</v>
      </c>
      <c r="N131" s="1134"/>
      <c r="O131" s="1094"/>
      <c r="P131" s="1135"/>
      <c r="Q131" s="1136"/>
      <c r="R131" s="1137"/>
      <c r="S131" s="1138"/>
      <c r="T131" s="1139"/>
      <c r="U131" s="1131"/>
      <c r="V131" s="1139"/>
      <c r="W131" s="1140"/>
      <c r="X131" s="1145"/>
      <c r="Y131" s="1184" t="s">
        <v>1294</v>
      </c>
      <c r="Z131" s="1137">
        <v>13</v>
      </c>
      <c r="AA131" s="1137">
        <v>0.15</v>
      </c>
      <c r="AB131" s="1138">
        <f>($G$19)/AA131+1</f>
        <v>2</v>
      </c>
      <c r="AC131" s="1139">
        <v>1.5</v>
      </c>
      <c r="AD131" s="1131">
        <v>2</v>
      </c>
      <c r="AE131" s="1139">
        <f t="shared" ref="AE131:AE132" si="104">6*Z131/1000</f>
        <v>7.8E-2</v>
      </c>
      <c r="AF131" s="1131">
        <v>2</v>
      </c>
      <c r="AG131" s="1143">
        <f t="shared" si="100"/>
        <v>1.04</v>
      </c>
      <c r="AH131" s="1140">
        <v>2</v>
      </c>
      <c r="AI131" s="1122">
        <f>$J$11*((((AC131)+(AE131*AD131)+(AG131*AF131))*AH131)*AB131)</f>
        <v>119.55199999999999</v>
      </c>
      <c r="AJ131" s="1144">
        <f t="shared" si="101"/>
        <v>0</v>
      </c>
      <c r="AK131" s="1145">
        <f t="shared" si="102"/>
        <v>124.59310933333333</v>
      </c>
      <c r="AL131" s="1146">
        <f t="shared" si="98"/>
        <v>0</v>
      </c>
    </row>
    <row r="132" spans="1:38" ht="18.75">
      <c r="A132" s="1126"/>
      <c r="B132" s="1127"/>
      <c r="C132" s="1128"/>
      <c r="D132" s="1127"/>
      <c r="E132" s="1127"/>
      <c r="F132" s="1129"/>
      <c r="G132" s="1129"/>
      <c r="H132" s="1129"/>
      <c r="I132" s="1130"/>
      <c r="J132" s="1131"/>
      <c r="K132" s="1132"/>
      <c r="L132" s="1133"/>
      <c r="M132" s="1127" t="s">
        <v>1292</v>
      </c>
      <c r="N132" s="1134">
        <f>I129*(F129*H129)</f>
        <v>3.57</v>
      </c>
      <c r="O132" s="1094"/>
      <c r="P132" s="1135"/>
      <c r="Q132" s="1136"/>
      <c r="R132" s="1137"/>
      <c r="S132" s="1138"/>
      <c r="T132" s="1139"/>
      <c r="U132" s="1131"/>
      <c r="V132" s="1139"/>
      <c r="W132" s="1140"/>
      <c r="X132" s="1122"/>
      <c r="Y132" s="1141" t="s">
        <v>1291</v>
      </c>
      <c r="Z132" s="1142">
        <v>8</v>
      </c>
      <c r="AA132" s="1137">
        <v>0.15</v>
      </c>
      <c r="AB132" s="1138">
        <f>(H129)/AA132+1</f>
        <v>16.866666666666667</v>
      </c>
      <c r="AC132" s="1139">
        <f>(F129+0.3)-0.06</f>
        <v>1.74</v>
      </c>
      <c r="AD132" s="1131">
        <v>2</v>
      </c>
      <c r="AE132" s="1139">
        <f t="shared" si="104"/>
        <v>4.8000000000000001E-2</v>
      </c>
      <c r="AF132" s="1131">
        <v>0</v>
      </c>
      <c r="AG132" s="1143">
        <f t="shared" si="100"/>
        <v>0</v>
      </c>
      <c r="AH132" s="1140">
        <v>2</v>
      </c>
      <c r="AI132" s="1122">
        <f>$J$11*((((AC132)+(AE132*AD132)+(AG132*AF132))*AH132)*AB132)</f>
        <v>495.47520000000003</v>
      </c>
      <c r="AJ132" s="1144">
        <f t="shared" si="101"/>
        <v>0</v>
      </c>
      <c r="AK132" s="1145">
        <f t="shared" si="102"/>
        <v>0</v>
      </c>
      <c r="AL132" s="1146">
        <f t="shared" si="98"/>
        <v>0</v>
      </c>
    </row>
    <row r="133" spans="1:38" ht="18.75">
      <c r="A133" s="1126"/>
      <c r="B133" s="1127"/>
      <c r="C133" s="1128"/>
      <c r="D133" s="1127"/>
      <c r="E133" s="1127"/>
      <c r="F133" s="1129"/>
      <c r="G133" s="1129"/>
      <c r="H133" s="1129"/>
      <c r="I133" s="1130"/>
      <c r="J133" s="1131"/>
      <c r="K133" s="1132"/>
      <c r="L133" s="1133"/>
      <c r="M133" s="1127" t="s">
        <v>1293</v>
      </c>
      <c r="N133" s="1134">
        <f>I130*(F130*H130)</f>
        <v>3.165</v>
      </c>
      <c r="O133" s="1094"/>
      <c r="P133" s="1135"/>
      <c r="Q133" s="1136"/>
      <c r="R133" s="1137"/>
      <c r="S133" s="1138"/>
      <c r="T133" s="1139"/>
      <c r="U133" s="1131"/>
      <c r="V133" s="1139"/>
      <c r="W133" s="1140"/>
      <c r="X133" s="1122"/>
      <c r="Y133" s="1141"/>
      <c r="Z133" s="1142"/>
      <c r="AA133" s="1137"/>
      <c r="AB133" s="1138"/>
      <c r="AC133" s="1139"/>
      <c r="AD133" s="1131"/>
      <c r="AE133" s="1139"/>
      <c r="AF133" s="1131"/>
      <c r="AG133" s="1139"/>
      <c r="AH133" s="1140"/>
      <c r="AI133" s="1122"/>
      <c r="AJ133" s="1144">
        <f t="shared" si="101"/>
        <v>0</v>
      </c>
      <c r="AK133" s="1145">
        <f t="shared" si="102"/>
        <v>0</v>
      </c>
      <c r="AL133" s="1146">
        <f t="shared" si="98"/>
        <v>0</v>
      </c>
    </row>
    <row r="134" spans="1:38" ht="18.75">
      <c r="A134" s="1126"/>
      <c r="B134" s="1127"/>
      <c r="C134" s="1128"/>
      <c r="D134" s="1127"/>
      <c r="E134" s="1127"/>
      <c r="F134" s="1168"/>
      <c r="G134" s="1168"/>
      <c r="H134" s="1168"/>
      <c r="I134" s="1130"/>
      <c r="J134" s="1169"/>
      <c r="K134" s="1132"/>
      <c r="L134" s="1133"/>
      <c r="M134" s="1127"/>
      <c r="N134" s="1134"/>
      <c r="O134" s="1094"/>
      <c r="P134" s="1135"/>
      <c r="Q134" s="1136"/>
      <c r="R134" s="1137"/>
      <c r="S134" s="1138"/>
      <c r="T134" s="1139"/>
      <c r="U134" s="1131"/>
      <c r="V134" s="1139"/>
      <c r="W134" s="1140"/>
      <c r="X134" s="1122"/>
      <c r="Y134" s="1141"/>
      <c r="Z134" s="1142"/>
      <c r="AA134" s="1137"/>
      <c r="AB134" s="1138"/>
      <c r="AC134" s="1139"/>
      <c r="AD134" s="1131"/>
      <c r="AE134" s="1139"/>
      <c r="AF134" s="1131"/>
      <c r="AG134" s="1139"/>
      <c r="AH134" s="1140"/>
      <c r="AI134" s="1122"/>
      <c r="AJ134" s="1144"/>
      <c r="AK134" s="1145"/>
      <c r="AL134" s="1146"/>
    </row>
    <row r="135" spans="1:38" ht="18.75">
      <c r="A135" s="1136"/>
      <c r="B135" s="1127"/>
      <c r="C135" s="1128"/>
      <c r="D135" s="1127">
        <v>3</v>
      </c>
      <c r="E135" s="1127" t="s">
        <v>1279</v>
      </c>
      <c r="F135" s="1129">
        <v>0.3</v>
      </c>
      <c r="G135" s="1129">
        <v>0.16</v>
      </c>
      <c r="H135" s="1129">
        <v>1.5</v>
      </c>
      <c r="I135" s="1181">
        <v>1</v>
      </c>
      <c r="J135" s="1131">
        <v>5</v>
      </c>
      <c r="K135" s="1132"/>
      <c r="L135" s="1133">
        <f>I135*(((F135*G135*H135)/2)*J135)</f>
        <v>0.18000000000000002</v>
      </c>
      <c r="M135" s="1127" t="s">
        <v>1280</v>
      </c>
      <c r="N135" s="1134">
        <f>I135*(G135*H135*J135)</f>
        <v>1.2</v>
      </c>
      <c r="O135" s="1094"/>
      <c r="P135" s="1182" t="s">
        <v>1281</v>
      </c>
      <c r="Q135" s="1136">
        <v>8</v>
      </c>
      <c r="R135" s="1137"/>
      <c r="S135" s="1138">
        <v>1</v>
      </c>
      <c r="T135" s="1139">
        <f>(H135+0.4)-0.06</f>
        <v>1.8399999999999999</v>
      </c>
      <c r="U135" s="1131">
        <v>2</v>
      </c>
      <c r="V135" s="1139">
        <f>6*Q135/1000</f>
        <v>4.8000000000000001E-2</v>
      </c>
      <c r="W135" s="1140">
        <v>8</v>
      </c>
      <c r="X135" s="1122">
        <f>I135*((((T135)+(V135*U135)*S135)*W135))</f>
        <v>15.488</v>
      </c>
      <c r="Y135" s="1183" t="s">
        <v>1282</v>
      </c>
      <c r="Z135" s="1142">
        <v>13</v>
      </c>
      <c r="AA135" s="1137">
        <v>0.15</v>
      </c>
      <c r="AB135" s="1138">
        <f>($G$19)/AA135+1</f>
        <v>2</v>
      </c>
      <c r="AC135" s="1139">
        <v>4.83</v>
      </c>
      <c r="AD135" s="1131">
        <v>2</v>
      </c>
      <c r="AE135" s="1139">
        <f>6*Z135/1000</f>
        <v>7.8E-2</v>
      </c>
      <c r="AF135" s="1131">
        <v>2</v>
      </c>
      <c r="AG135" s="1143">
        <f t="shared" ref="AG135:AG139" si="105">(40*Z135/1000)*AF135</f>
        <v>1.04</v>
      </c>
      <c r="AH135" s="1140">
        <v>1</v>
      </c>
      <c r="AI135" s="1122">
        <f>$J$11*((((AC135)+(AE135*AD135)+(AG135*AF135))*AH135)*AB135)</f>
        <v>113.056</v>
      </c>
      <c r="AJ135" s="1144">
        <f t="shared" ref="AJ135:AJ140" si="106">((IF(Q135=$AK$7,X135,0)+(IF(Z135=$AK$7,AI135,0))))*$AK$9</f>
        <v>0</v>
      </c>
      <c r="AK135" s="1145">
        <f t="shared" ref="AK135:AK140" si="107">((IF(Q135=$AL$7,X135,0)+(IF(Z135=$AL$7,AI135,0))))*$AL$9</f>
        <v>117.82319466666667</v>
      </c>
      <c r="AL135" s="1146">
        <f t="shared" ref="AL135:AL140" si="108">((IF(Q135=$AM$7,X135,0)+(IF(Z135=$AM$7,AI135,0))))*$AM$9</f>
        <v>0</v>
      </c>
    </row>
    <row r="136" spans="1:38" ht="18.75">
      <c r="A136" s="1126"/>
      <c r="B136" s="1127"/>
      <c r="C136" s="1128"/>
      <c r="D136" s="1127"/>
      <c r="E136" s="1127" t="s">
        <v>1283</v>
      </c>
      <c r="F136" s="1129">
        <v>1.5</v>
      </c>
      <c r="G136" s="1129">
        <v>0.15</v>
      </c>
      <c r="H136" s="1129">
        <v>1.7</v>
      </c>
      <c r="I136" s="1130">
        <v>1</v>
      </c>
      <c r="J136" s="1131"/>
      <c r="K136" s="1132"/>
      <c r="L136" s="1133">
        <f>I136*(F136*G136*H136)</f>
        <v>0.38249999999999995</v>
      </c>
      <c r="M136" s="1127" t="s">
        <v>1284</v>
      </c>
      <c r="N136" s="1134"/>
      <c r="O136" s="1094"/>
      <c r="P136" s="1135" t="s">
        <v>1285</v>
      </c>
      <c r="Q136" s="1136">
        <v>8</v>
      </c>
      <c r="R136" s="1137">
        <v>0.2</v>
      </c>
      <c r="S136" s="1138">
        <f>(H135/R136+1)</f>
        <v>8.5</v>
      </c>
      <c r="T136" s="1139">
        <f>(F135+G135+0.3)-(0.03*2)</f>
        <v>0.7</v>
      </c>
      <c r="U136" s="1131">
        <v>2</v>
      </c>
      <c r="V136" s="1139">
        <f>6*Q136/1000</f>
        <v>4.8000000000000001E-2</v>
      </c>
      <c r="W136" s="1140">
        <v>8</v>
      </c>
      <c r="X136" s="1122">
        <f>I135*(((((T136)+(V136*U136))*S136)*W136))</f>
        <v>54.127999999999993</v>
      </c>
      <c r="Y136" s="1141" t="s">
        <v>1286</v>
      </c>
      <c r="Z136" s="1142">
        <v>13</v>
      </c>
      <c r="AA136" s="1137">
        <v>0.15</v>
      </c>
      <c r="AB136" s="1138">
        <f>($G$19)/AA136+1</f>
        <v>2</v>
      </c>
      <c r="AC136" s="1139">
        <f>0.71+2.72</f>
        <v>3.43</v>
      </c>
      <c r="AD136" s="1131">
        <v>2</v>
      </c>
      <c r="AE136" s="1139">
        <f>6*Z136/1000</f>
        <v>7.8E-2</v>
      </c>
      <c r="AF136" s="1131">
        <v>2</v>
      </c>
      <c r="AG136" s="1143">
        <f t="shared" si="105"/>
        <v>1.04</v>
      </c>
      <c r="AH136" s="1140">
        <v>1</v>
      </c>
      <c r="AI136" s="1122">
        <f t="shared" ref="AI136:AI137" si="109">$J$11*((((AC136)+(AE136*AD136)+(AG136*AF136))*AH136)*AB136)</f>
        <v>90.656000000000006</v>
      </c>
      <c r="AJ136" s="1144">
        <f t="shared" si="106"/>
        <v>0</v>
      </c>
      <c r="AK136" s="1145">
        <f t="shared" si="107"/>
        <v>94.478661333333335</v>
      </c>
      <c r="AL136" s="1146">
        <f t="shared" si="108"/>
        <v>0</v>
      </c>
    </row>
    <row r="137" spans="1:38" ht="18.75">
      <c r="A137" s="1126"/>
      <c r="B137" s="1127"/>
      <c r="C137" s="1128"/>
      <c r="D137" s="1127"/>
      <c r="E137" s="1127" t="s">
        <v>1287</v>
      </c>
      <c r="F137" s="1129">
        <v>1.5</v>
      </c>
      <c r="G137" s="1129">
        <v>0.15</v>
      </c>
      <c r="H137" s="1129">
        <v>1.01</v>
      </c>
      <c r="I137" s="1130">
        <v>1</v>
      </c>
      <c r="J137" s="1131"/>
      <c r="K137" s="1132"/>
      <c r="L137" s="1133">
        <f>I137*(F137*G137*H137)</f>
        <v>0.22724999999999998</v>
      </c>
      <c r="M137" s="1127" t="s">
        <v>1288</v>
      </c>
      <c r="N137" s="1134"/>
      <c r="O137" s="1094"/>
      <c r="P137" s="1135"/>
      <c r="Q137" s="1136"/>
      <c r="R137" s="1137"/>
      <c r="S137" s="1138"/>
      <c r="T137" s="1139"/>
      <c r="U137" s="1131"/>
      <c r="V137" s="1139"/>
      <c r="W137" s="1140"/>
      <c r="X137" s="1122"/>
      <c r="Y137" s="1141" t="s">
        <v>1289</v>
      </c>
      <c r="Z137" s="1142">
        <v>13</v>
      </c>
      <c r="AA137" s="1137">
        <v>0.15</v>
      </c>
      <c r="AB137" s="1138">
        <f>($G$19)/AA137+1</f>
        <v>2</v>
      </c>
      <c r="AC137" s="1139">
        <v>2.11</v>
      </c>
      <c r="AD137" s="1131">
        <v>2</v>
      </c>
      <c r="AE137" s="1139">
        <f>6*Z137/1000</f>
        <v>7.8E-2</v>
      </c>
      <c r="AF137" s="1131">
        <v>2</v>
      </c>
      <c r="AG137" s="1143">
        <f t="shared" si="105"/>
        <v>1.04</v>
      </c>
      <c r="AH137" s="1140">
        <v>1</v>
      </c>
      <c r="AI137" s="1122">
        <f t="shared" si="109"/>
        <v>69.536000000000001</v>
      </c>
      <c r="AJ137" s="1144">
        <f t="shared" si="106"/>
        <v>0</v>
      </c>
      <c r="AK137" s="1145">
        <f t="shared" si="107"/>
        <v>72.468101333333337</v>
      </c>
      <c r="AL137" s="1146">
        <f t="shared" si="108"/>
        <v>0</v>
      </c>
    </row>
    <row r="138" spans="1:38" ht="18.75">
      <c r="A138" s="1126"/>
      <c r="B138" s="1127"/>
      <c r="C138" s="1128"/>
      <c r="D138" s="1127"/>
      <c r="E138" s="1127"/>
      <c r="F138" s="1129"/>
      <c r="G138" s="1129"/>
      <c r="H138" s="1129"/>
      <c r="I138" s="1130"/>
      <c r="J138" s="1131"/>
      <c r="K138" s="1132"/>
      <c r="L138" s="1133"/>
      <c r="M138" s="1127" t="s">
        <v>1290</v>
      </c>
      <c r="N138" s="1134"/>
      <c r="O138" s="1094"/>
      <c r="P138" s="1135"/>
      <c r="Q138" s="1136"/>
      <c r="R138" s="1137"/>
      <c r="S138" s="1138"/>
      <c r="T138" s="1139"/>
      <c r="U138" s="1131"/>
      <c r="V138" s="1139"/>
      <c r="W138" s="1140"/>
      <c r="X138" s="1145"/>
      <c r="Y138" s="1184" t="s">
        <v>1294</v>
      </c>
      <c r="Z138" s="1137">
        <v>13</v>
      </c>
      <c r="AA138" s="1137">
        <v>0.15</v>
      </c>
      <c r="AB138" s="1138">
        <f>($G$19)/AA138+1</f>
        <v>2</v>
      </c>
      <c r="AC138" s="1139">
        <v>0.71</v>
      </c>
      <c r="AD138" s="1131">
        <v>2</v>
      </c>
      <c r="AE138" s="1139">
        <f t="shared" ref="AE138:AE139" si="110">6*Z138/1000</f>
        <v>7.8E-2</v>
      </c>
      <c r="AF138" s="1131">
        <v>2</v>
      </c>
      <c r="AG138" s="1143">
        <f t="shared" si="105"/>
        <v>1.04</v>
      </c>
      <c r="AH138" s="1140">
        <v>2</v>
      </c>
      <c r="AI138" s="1122">
        <f>$J$11*((((AC138)+(AE138*AD138)+(AG138*AF138))*AH138)*AB138)</f>
        <v>94.272000000000006</v>
      </c>
      <c r="AJ138" s="1144">
        <f t="shared" si="106"/>
        <v>0</v>
      </c>
      <c r="AK138" s="1145">
        <f t="shared" si="107"/>
        <v>98.247136000000012</v>
      </c>
      <c r="AL138" s="1146">
        <f t="shared" si="108"/>
        <v>0</v>
      </c>
    </row>
    <row r="139" spans="1:38" ht="18.75">
      <c r="A139" s="1126"/>
      <c r="B139" s="1127"/>
      <c r="C139" s="1128"/>
      <c r="D139" s="1127"/>
      <c r="E139" s="1127"/>
      <c r="F139" s="1129"/>
      <c r="G139" s="1129"/>
      <c r="H139" s="1129"/>
      <c r="I139" s="1130"/>
      <c r="J139" s="1131"/>
      <c r="K139" s="1132"/>
      <c r="L139" s="1133"/>
      <c r="M139" s="1127" t="s">
        <v>1292</v>
      </c>
      <c r="N139" s="1134">
        <f>I136*(F136*H136)</f>
        <v>2.5499999999999998</v>
      </c>
      <c r="O139" s="1094"/>
      <c r="P139" s="1135"/>
      <c r="Q139" s="1136"/>
      <c r="R139" s="1137"/>
      <c r="S139" s="1138"/>
      <c r="T139" s="1139"/>
      <c r="U139" s="1131"/>
      <c r="V139" s="1139"/>
      <c r="W139" s="1140"/>
      <c r="X139" s="1122"/>
      <c r="Y139" s="1141" t="s">
        <v>1291</v>
      </c>
      <c r="Z139" s="1142">
        <v>8</v>
      </c>
      <c r="AA139" s="1137">
        <v>0.15</v>
      </c>
      <c r="AB139" s="1138">
        <f>(H136)/AA139+1</f>
        <v>12.333333333333334</v>
      </c>
      <c r="AC139" s="1139">
        <f>(F136+0.3)-0.06</f>
        <v>1.74</v>
      </c>
      <c r="AD139" s="1131">
        <v>2</v>
      </c>
      <c r="AE139" s="1139">
        <f t="shared" si="110"/>
        <v>4.8000000000000001E-2</v>
      </c>
      <c r="AF139" s="1131">
        <v>0</v>
      </c>
      <c r="AG139" s="1143">
        <f t="shared" si="105"/>
        <v>0</v>
      </c>
      <c r="AH139" s="1140">
        <v>2</v>
      </c>
      <c r="AI139" s="1122">
        <f>$J$11*((((AC139)+(AE139*AD139)+(AG139*AF139))*AH139)*AB139)</f>
        <v>362.30400000000003</v>
      </c>
      <c r="AJ139" s="1144">
        <f t="shared" si="106"/>
        <v>0</v>
      </c>
      <c r="AK139" s="1145">
        <f t="shared" si="107"/>
        <v>0</v>
      </c>
      <c r="AL139" s="1146">
        <f t="shared" si="108"/>
        <v>0</v>
      </c>
    </row>
    <row r="140" spans="1:38" ht="18.75">
      <c r="A140" s="1126"/>
      <c r="B140" s="1127"/>
      <c r="C140" s="1128"/>
      <c r="D140" s="1127"/>
      <c r="E140" s="1127"/>
      <c r="F140" s="1129"/>
      <c r="G140" s="1129"/>
      <c r="H140" s="1129"/>
      <c r="I140" s="1130"/>
      <c r="J140" s="1131"/>
      <c r="K140" s="1132"/>
      <c r="L140" s="1133"/>
      <c r="M140" s="1127" t="s">
        <v>1293</v>
      </c>
      <c r="N140" s="1134">
        <f>I137*(F137*H137)</f>
        <v>1.5150000000000001</v>
      </c>
      <c r="O140" s="1094"/>
      <c r="P140" s="1135"/>
      <c r="Q140" s="1136"/>
      <c r="R140" s="1137"/>
      <c r="S140" s="1138"/>
      <c r="T140" s="1139"/>
      <c r="U140" s="1131"/>
      <c r="V140" s="1139"/>
      <c r="W140" s="1140"/>
      <c r="X140" s="1122"/>
      <c r="Y140" s="1141"/>
      <c r="Z140" s="1142"/>
      <c r="AA140" s="1137"/>
      <c r="AB140" s="1138"/>
      <c r="AC140" s="1139"/>
      <c r="AD140" s="1131"/>
      <c r="AE140" s="1139"/>
      <c r="AF140" s="1131"/>
      <c r="AG140" s="1139"/>
      <c r="AH140" s="1140"/>
      <c r="AI140" s="1122"/>
      <c r="AJ140" s="1144">
        <f t="shared" si="106"/>
        <v>0</v>
      </c>
      <c r="AK140" s="1145">
        <f t="shared" si="107"/>
        <v>0</v>
      </c>
      <c r="AL140" s="1146">
        <f t="shared" si="108"/>
        <v>0</v>
      </c>
    </row>
    <row r="141" spans="1:38" ht="19.5" thickBot="1">
      <c r="A141" s="1147"/>
      <c r="B141" s="1148"/>
      <c r="C141" s="1149"/>
      <c r="D141" s="1148"/>
      <c r="E141" s="1148"/>
      <c r="F141" s="1185"/>
      <c r="G141" s="1185"/>
      <c r="H141" s="1185"/>
      <c r="I141" s="1151"/>
      <c r="J141" s="1186"/>
      <c r="K141" s="1153"/>
      <c r="L141" s="1154"/>
      <c r="M141" s="1148"/>
      <c r="N141" s="1155"/>
      <c r="O141" s="1094"/>
      <c r="P141" s="1156"/>
      <c r="Q141" s="1157"/>
      <c r="R141" s="1158"/>
      <c r="S141" s="1159"/>
      <c r="T141" s="1160"/>
      <c r="U141" s="1152"/>
      <c r="V141" s="1160"/>
      <c r="W141" s="1161"/>
      <c r="X141" s="1162"/>
      <c r="Y141" s="1163"/>
      <c r="Z141" s="1164"/>
      <c r="AA141" s="1158"/>
      <c r="AB141" s="1159"/>
      <c r="AC141" s="1160"/>
      <c r="AD141" s="1152"/>
      <c r="AE141" s="1160"/>
      <c r="AF141" s="1152"/>
      <c r="AG141" s="1160"/>
      <c r="AH141" s="1161"/>
      <c r="AI141" s="1162"/>
      <c r="AJ141" s="1102"/>
      <c r="AK141" s="1165"/>
      <c r="AL141" s="1187"/>
    </row>
    <row r="142" spans="1:38" ht="20.25" thickTop="1" thickBot="1">
      <c r="A142" s="1188"/>
      <c r="B142" s="1189"/>
      <c r="C142" s="1190"/>
      <c r="D142" s="1189"/>
      <c r="E142" s="1191" t="s">
        <v>468</v>
      </c>
      <c r="F142" s="1192"/>
      <c r="G142" s="1192"/>
      <c r="H142" s="1192"/>
      <c r="I142" s="1192"/>
      <c r="J142" s="1192"/>
      <c r="K142" s="1193"/>
      <c r="L142" s="1194">
        <f>SUM(L121:L141)</f>
        <v>3.2264999999999997</v>
      </c>
      <c r="M142" s="1189"/>
      <c r="N142" s="1194">
        <f>SUM(N121:N141)</f>
        <v>21.51</v>
      </c>
      <c r="O142" s="1195"/>
      <c r="P142" s="1196"/>
      <c r="Q142" s="1188"/>
      <c r="R142" s="1197"/>
      <c r="S142" s="1198"/>
      <c r="T142" s="1199"/>
      <c r="U142" s="1200"/>
      <c r="V142" s="1199"/>
      <c r="W142" s="1201"/>
      <c r="X142" s="1202"/>
      <c r="Y142" s="1203"/>
      <c r="Z142" s="1204"/>
      <c r="AA142" s="1197"/>
      <c r="AB142" s="1198"/>
      <c r="AC142" s="1199"/>
      <c r="AD142" s="1200"/>
      <c r="AE142" s="1199"/>
      <c r="AF142" s="1200"/>
      <c r="AG142" s="1199"/>
      <c r="AH142" s="1201"/>
      <c r="AI142" s="1202"/>
      <c r="AJ142" s="1205">
        <f>SUM(AJ121:AJ141)</f>
        <v>0</v>
      </c>
      <c r="AK142" s="1205">
        <f t="shared" ref="AK142:AL142" si="111">SUM(AK121:AK141)</f>
        <v>1195.4068533333334</v>
      </c>
      <c r="AL142" s="1206">
        <f t="shared" si="111"/>
        <v>0</v>
      </c>
    </row>
    <row r="143" spans="1:38" ht="19.5" thickTop="1">
      <c r="A143" s="1136"/>
      <c r="B143" s="1148"/>
      <c r="C143" s="1128"/>
      <c r="D143" s="1127"/>
      <c r="E143" s="1127"/>
      <c r="F143" s="1129"/>
      <c r="G143" s="1129"/>
      <c r="H143" s="1129"/>
      <c r="I143" s="1181"/>
      <c r="J143" s="1131"/>
      <c r="K143" s="1132"/>
      <c r="L143" s="1133"/>
      <c r="M143" s="1127"/>
      <c r="N143" s="1134"/>
      <c r="O143" s="1094"/>
      <c r="P143" s="1182"/>
      <c r="Q143" s="1136"/>
      <c r="R143" s="1137"/>
      <c r="S143" s="1138"/>
      <c r="T143" s="1139"/>
      <c r="U143" s="1131"/>
      <c r="V143" s="1139"/>
      <c r="W143" s="1140"/>
      <c r="X143" s="1122"/>
      <c r="Y143" s="1183"/>
      <c r="Z143" s="1142"/>
      <c r="AA143" s="1137"/>
      <c r="AB143" s="1138"/>
      <c r="AC143" s="1139"/>
      <c r="AD143" s="1131"/>
      <c r="AE143" s="1139"/>
      <c r="AF143" s="1131"/>
      <c r="AG143" s="1139"/>
      <c r="AH143" s="1140"/>
      <c r="AI143" s="1122"/>
      <c r="AJ143" s="1144"/>
      <c r="AK143" s="1145"/>
      <c r="AL143" s="1207"/>
    </row>
    <row r="144" spans="1:38" ht="18.75">
      <c r="A144" s="1136"/>
      <c r="B144" s="1166" t="s">
        <v>1277</v>
      </c>
      <c r="C144" s="1128" t="s">
        <v>949</v>
      </c>
      <c r="D144" s="1127">
        <v>1</v>
      </c>
      <c r="E144" s="1127" t="s">
        <v>1279</v>
      </c>
      <c r="F144" s="1129">
        <v>0.3</v>
      </c>
      <c r="G144" s="1129">
        <v>0.16</v>
      </c>
      <c r="H144" s="1129">
        <v>1.5</v>
      </c>
      <c r="I144" s="1181">
        <v>1</v>
      </c>
      <c r="J144" s="1131">
        <v>8</v>
      </c>
      <c r="K144" s="1132"/>
      <c r="L144" s="1133">
        <f>I144*(((F144*G144*H144)/2)*J144)</f>
        <v>0.28800000000000003</v>
      </c>
      <c r="M144" s="1127" t="s">
        <v>1280</v>
      </c>
      <c r="N144" s="1134">
        <f>I144*(G144*H144*J144)</f>
        <v>1.92</v>
      </c>
      <c r="O144" s="1094"/>
      <c r="P144" s="1182" t="s">
        <v>1281</v>
      </c>
      <c r="Q144" s="1136">
        <v>8</v>
      </c>
      <c r="R144" s="1137"/>
      <c r="S144" s="1138">
        <v>1</v>
      </c>
      <c r="T144" s="1139">
        <f>(H144+0.4)-0.06</f>
        <v>1.8399999999999999</v>
      </c>
      <c r="U144" s="1131">
        <v>2</v>
      </c>
      <c r="V144" s="1139">
        <f>6*Q144/1000</f>
        <v>4.8000000000000001E-2</v>
      </c>
      <c r="W144" s="1140">
        <v>8</v>
      </c>
      <c r="X144" s="1122">
        <f>I144*((((T144)+(V144*U144)*S144)*W144))</f>
        <v>15.488</v>
      </c>
      <c r="Y144" s="1183" t="s">
        <v>1282</v>
      </c>
      <c r="Z144" s="1142">
        <v>13</v>
      </c>
      <c r="AA144" s="1137">
        <v>0.15</v>
      </c>
      <c r="AB144" s="1138">
        <f>($G$19)/AA144+1</f>
        <v>2</v>
      </c>
      <c r="AC144" s="1139">
        <v>3.77</v>
      </c>
      <c r="AD144" s="1131">
        <v>2</v>
      </c>
      <c r="AE144" s="1139">
        <f>6*Z144/1000</f>
        <v>7.8E-2</v>
      </c>
      <c r="AF144" s="1131">
        <v>2</v>
      </c>
      <c r="AG144" s="1143">
        <f t="shared" ref="AG144:AG148" si="112">(40*Z144/1000)*AF144</f>
        <v>1.04</v>
      </c>
      <c r="AH144" s="1140">
        <v>1</v>
      </c>
      <c r="AI144" s="1122">
        <f>$J$11*((((AC144)+(AE144*AD144)+(AG144*AF144))*AH144)*AB144)</f>
        <v>96.096000000000004</v>
      </c>
      <c r="AJ144" s="1144">
        <f t="shared" ref="AJ144:AJ149" si="113">((IF(Q144=$AK$7,X144,0)+(IF(Z144=$AK$7,AI144,0))))*$AK$9</f>
        <v>0</v>
      </c>
      <c r="AK144" s="1145">
        <f t="shared" ref="AK144:AK149" si="114">((IF(Q144=$AL$7,X144,0)+(IF(Z144=$AL$7,AI144,0))))*$AL$9</f>
        <v>100.148048</v>
      </c>
      <c r="AL144" s="1146">
        <f t="shared" ref="AL144:AL149" si="115">((IF(Q144=$AM$7,X144,0)+(IF(Z144=$AM$7,AI144,0))))*$AM$9</f>
        <v>0</v>
      </c>
    </row>
    <row r="145" spans="1:38" ht="18.75">
      <c r="A145" s="1126"/>
      <c r="B145" s="1127"/>
      <c r="C145" s="1128"/>
      <c r="D145" s="1127"/>
      <c r="E145" s="1127" t="s">
        <v>1283</v>
      </c>
      <c r="F145" s="1129">
        <v>1.5</v>
      </c>
      <c r="G145" s="1129">
        <v>0.15</v>
      </c>
      <c r="H145" s="1129">
        <v>2.4</v>
      </c>
      <c r="I145" s="1130">
        <v>1</v>
      </c>
      <c r="J145" s="1131"/>
      <c r="K145" s="1132"/>
      <c r="L145" s="1133">
        <f>I145*(F145*G145*H145)</f>
        <v>0.53999999999999992</v>
      </c>
      <c r="M145" s="1127" t="s">
        <v>1284</v>
      </c>
      <c r="N145" s="1134"/>
      <c r="O145" s="1094"/>
      <c r="P145" s="1135" t="s">
        <v>1285</v>
      </c>
      <c r="Q145" s="1136">
        <v>8</v>
      </c>
      <c r="R145" s="1137">
        <v>0.2</v>
      </c>
      <c r="S145" s="1138">
        <f>(H144/R145+1)</f>
        <v>8.5</v>
      </c>
      <c r="T145" s="1139">
        <f>(F144+G144+0.3)-(0.03*2)</f>
        <v>0.7</v>
      </c>
      <c r="U145" s="1131">
        <v>2</v>
      </c>
      <c r="V145" s="1139">
        <f>6*Q145/1000</f>
        <v>4.8000000000000001E-2</v>
      </c>
      <c r="W145" s="1140">
        <v>8</v>
      </c>
      <c r="X145" s="1122">
        <f>I144*(((((T145)+(V145*U145))*S145)*W145))</f>
        <v>54.127999999999993</v>
      </c>
      <c r="Y145" s="1141" t="s">
        <v>1286</v>
      </c>
      <c r="Z145" s="1142">
        <v>13</v>
      </c>
      <c r="AA145" s="1137">
        <v>0.15</v>
      </c>
      <c r="AB145" s="1138">
        <f>($G$19)/AA145+1</f>
        <v>2</v>
      </c>
      <c r="AC145" s="1139">
        <v>4.12</v>
      </c>
      <c r="AD145" s="1131">
        <v>2</v>
      </c>
      <c r="AE145" s="1139">
        <f>6*Z145/1000</f>
        <v>7.8E-2</v>
      </c>
      <c r="AF145" s="1131">
        <v>2</v>
      </c>
      <c r="AG145" s="1143">
        <f t="shared" si="112"/>
        <v>1.04</v>
      </c>
      <c r="AH145" s="1140">
        <v>1</v>
      </c>
      <c r="AI145" s="1122">
        <f t="shared" ref="AI145:AI146" si="116">$J$11*((((AC145)+(AE145*AD145)+(AG145*AF145))*AH145)*AB145)</f>
        <v>101.696</v>
      </c>
      <c r="AJ145" s="1144">
        <f t="shared" si="113"/>
        <v>0</v>
      </c>
      <c r="AK145" s="1145">
        <f t="shared" si="114"/>
        <v>105.98418133333334</v>
      </c>
      <c r="AL145" s="1146">
        <f t="shared" si="115"/>
        <v>0</v>
      </c>
    </row>
    <row r="146" spans="1:38" ht="18.75">
      <c r="A146" s="1126"/>
      <c r="B146" s="1127"/>
      <c r="C146" s="1128"/>
      <c r="D146" s="1127"/>
      <c r="E146" s="1127" t="s">
        <v>1287</v>
      </c>
      <c r="F146" s="1129">
        <v>1.5</v>
      </c>
      <c r="G146" s="1129">
        <v>0.15</v>
      </c>
      <c r="H146" s="1129">
        <v>1.536</v>
      </c>
      <c r="I146" s="1130">
        <v>1</v>
      </c>
      <c r="J146" s="1131"/>
      <c r="K146" s="1132"/>
      <c r="L146" s="1133">
        <f>I146*(F146*G146*H146)</f>
        <v>0.34559999999999996</v>
      </c>
      <c r="M146" s="1127" t="s">
        <v>1288</v>
      </c>
      <c r="N146" s="1134"/>
      <c r="O146" s="1094"/>
      <c r="P146" s="1135"/>
      <c r="Q146" s="1136"/>
      <c r="R146" s="1137"/>
      <c r="S146" s="1138"/>
      <c r="T146" s="1139"/>
      <c r="U146" s="1131"/>
      <c r="V146" s="1139"/>
      <c r="W146" s="1140"/>
      <c r="X146" s="1122"/>
      <c r="Y146" s="1141" t="s">
        <v>1289</v>
      </c>
      <c r="Z146" s="1142">
        <v>13</v>
      </c>
      <c r="AA146" s="1137">
        <v>0.15</v>
      </c>
      <c r="AB146" s="1138">
        <f>($G$19)/AA146+1</f>
        <v>2</v>
      </c>
      <c r="AC146" s="1139">
        <v>1.37</v>
      </c>
      <c r="AD146" s="1131">
        <v>2</v>
      </c>
      <c r="AE146" s="1139">
        <f>6*Z146/1000</f>
        <v>7.8E-2</v>
      </c>
      <c r="AF146" s="1131">
        <v>2</v>
      </c>
      <c r="AG146" s="1143">
        <f t="shared" si="112"/>
        <v>1.04</v>
      </c>
      <c r="AH146" s="1140">
        <v>1</v>
      </c>
      <c r="AI146" s="1122">
        <f t="shared" si="116"/>
        <v>57.695999999999998</v>
      </c>
      <c r="AJ146" s="1144">
        <f t="shared" si="113"/>
        <v>0</v>
      </c>
      <c r="AK146" s="1145">
        <f t="shared" si="114"/>
        <v>60.128847999999998</v>
      </c>
      <c r="AL146" s="1146">
        <f t="shared" si="115"/>
        <v>0</v>
      </c>
    </row>
    <row r="147" spans="1:38" ht="18.75">
      <c r="A147" s="1126"/>
      <c r="B147" s="1127"/>
      <c r="C147" s="1128"/>
      <c r="D147" s="1127"/>
      <c r="E147" s="1127"/>
      <c r="F147" s="1129"/>
      <c r="G147" s="1129"/>
      <c r="H147" s="1129"/>
      <c r="I147" s="1130"/>
      <c r="J147" s="1131"/>
      <c r="K147" s="1132"/>
      <c r="L147" s="1133"/>
      <c r="M147" s="1127" t="s">
        <v>1290</v>
      </c>
      <c r="N147" s="1134"/>
      <c r="O147" s="1094"/>
      <c r="P147" s="1135"/>
      <c r="Q147" s="1136"/>
      <c r="R147" s="1137"/>
      <c r="S147" s="1138"/>
      <c r="T147" s="1139"/>
      <c r="U147" s="1131"/>
      <c r="V147" s="1139"/>
      <c r="W147" s="1140"/>
      <c r="X147" s="1145"/>
      <c r="Y147" s="1184" t="s">
        <v>1294</v>
      </c>
      <c r="Z147" s="1137">
        <v>13</v>
      </c>
      <c r="AA147" s="1137">
        <v>0.15</v>
      </c>
      <c r="AB147" s="1138">
        <f>($G$19)/AA147+1</f>
        <v>2</v>
      </c>
      <c r="AC147" s="1139">
        <v>1.74</v>
      </c>
      <c r="AD147" s="1131">
        <v>2</v>
      </c>
      <c r="AE147" s="1139">
        <f t="shared" ref="AE147:AE148" si="117">6*Z147/1000</f>
        <v>7.8E-2</v>
      </c>
      <c r="AF147" s="1131">
        <v>2</v>
      </c>
      <c r="AG147" s="1143">
        <f t="shared" si="112"/>
        <v>1.04</v>
      </c>
      <c r="AH147" s="1140">
        <v>2</v>
      </c>
      <c r="AI147" s="1122">
        <f>$J$11*((((AC147)+(AE147*AD147)+(AG147*AF147))*AH147)*AB147)</f>
        <v>127.232</v>
      </c>
      <c r="AJ147" s="1144">
        <f t="shared" si="113"/>
        <v>0</v>
      </c>
      <c r="AK147" s="1145">
        <f t="shared" si="114"/>
        <v>132.59694933333333</v>
      </c>
      <c r="AL147" s="1146">
        <f t="shared" si="115"/>
        <v>0</v>
      </c>
    </row>
    <row r="148" spans="1:38" ht="18.75">
      <c r="A148" s="1126"/>
      <c r="B148" s="1127"/>
      <c r="C148" s="1128"/>
      <c r="D148" s="1127"/>
      <c r="E148" s="1127"/>
      <c r="F148" s="1129"/>
      <c r="G148" s="1129"/>
      <c r="H148" s="1129"/>
      <c r="I148" s="1130"/>
      <c r="J148" s="1131"/>
      <c r="K148" s="1132"/>
      <c r="L148" s="1133"/>
      <c r="M148" s="1127" t="s">
        <v>1292</v>
      </c>
      <c r="N148" s="1134">
        <f>I145*(F145*H145)</f>
        <v>3.5999999999999996</v>
      </c>
      <c r="O148" s="1094"/>
      <c r="P148" s="1135"/>
      <c r="Q148" s="1136"/>
      <c r="R148" s="1137"/>
      <c r="S148" s="1138"/>
      <c r="T148" s="1139"/>
      <c r="U148" s="1131"/>
      <c r="V148" s="1139"/>
      <c r="W148" s="1140"/>
      <c r="X148" s="1122"/>
      <c r="Y148" s="1141" t="s">
        <v>1291</v>
      </c>
      <c r="Z148" s="1142">
        <v>8</v>
      </c>
      <c r="AA148" s="1137">
        <v>0.15</v>
      </c>
      <c r="AB148" s="1138">
        <f>(H145)/AA148+1</f>
        <v>17</v>
      </c>
      <c r="AC148" s="1139">
        <f>(F145+0.3)-0.06</f>
        <v>1.74</v>
      </c>
      <c r="AD148" s="1131">
        <v>2</v>
      </c>
      <c r="AE148" s="1139">
        <f t="shared" si="117"/>
        <v>4.8000000000000001E-2</v>
      </c>
      <c r="AF148" s="1131">
        <v>0</v>
      </c>
      <c r="AG148" s="1143">
        <f t="shared" si="112"/>
        <v>0</v>
      </c>
      <c r="AH148" s="1140">
        <v>2</v>
      </c>
      <c r="AI148" s="1122">
        <f>$J$11*((((AC148)+(AE148*AD148)+(AG148*AF148))*AH148)*AB148)</f>
        <v>499.392</v>
      </c>
      <c r="AJ148" s="1144">
        <f t="shared" si="113"/>
        <v>0</v>
      </c>
      <c r="AK148" s="1145">
        <f t="shared" si="114"/>
        <v>0</v>
      </c>
      <c r="AL148" s="1146">
        <f t="shared" si="115"/>
        <v>0</v>
      </c>
    </row>
    <row r="149" spans="1:38" ht="18.75">
      <c r="A149" s="1126"/>
      <c r="B149" s="1127"/>
      <c r="C149" s="1128"/>
      <c r="D149" s="1127"/>
      <c r="E149" s="1127"/>
      <c r="F149" s="1129"/>
      <c r="G149" s="1129"/>
      <c r="H149" s="1129"/>
      <c r="I149" s="1130"/>
      <c r="J149" s="1131"/>
      <c r="K149" s="1132"/>
      <c r="L149" s="1133"/>
      <c r="M149" s="1127" t="s">
        <v>1293</v>
      </c>
      <c r="N149" s="1134">
        <f>I146*(F146*H146)</f>
        <v>2.3040000000000003</v>
      </c>
      <c r="O149" s="1094"/>
      <c r="P149" s="1135"/>
      <c r="Q149" s="1136"/>
      <c r="R149" s="1137"/>
      <c r="S149" s="1138"/>
      <c r="T149" s="1139"/>
      <c r="U149" s="1131"/>
      <c r="V149" s="1139"/>
      <c r="W149" s="1140"/>
      <c r="X149" s="1122"/>
      <c r="Y149" s="1141"/>
      <c r="Z149" s="1142"/>
      <c r="AA149" s="1137"/>
      <c r="AB149" s="1138"/>
      <c r="AC149" s="1139"/>
      <c r="AD149" s="1131"/>
      <c r="AE149" s="1139"/>
      <c r="AF149" s="1131"/>
      <c r="AG149" s="1139"/>
      <c r="AH149" s="1140"/>
      <c r="AI149" s="1122"/>
      <c r="AJ149" s="1144">
        <f t="shared" si="113"/>
        <v>0</v>
      </c>
      <c r="AK149" s="1145">
        <f t="shared" si="114"/>
        <v>0</v>
      </c>
      <c r="AL149" s="1146">
        <f t="shared" si="115"/>
        <v>0</v>
      </c>
    </row>
    <row r="150" spans="1:38" ht="18.75">
      <c r="A150" s="1126"/>
      <c r="B150" s="1127"/>
      <c r="C150" s="1128"/>
      <c r="D150" s="1127"/>
      <c r="E150" s="1127"/>
      <c r="F150" s="1168"/>
      <c r="G150" s="1168"/>
      <c r="H150" s="1168"/>
      <c r="I150" s="1130"/>
      <c r="J150" s="1169"/>
      <c r="K150" s="1132"/>
      <c r="L150" s="1133"/>
      <c r="M150" s="1127"/>
      <c r="N150" s="1134"/>
      <c r="O150" s="1094"/>
      <c r="P150" s="1135"/>
      <c r="Q150" s="1136"/>
      <c r="R150" s="1137"/>
      <c r="S150" s="1138"/>
      <c r="T150" s="1139"/>
      <c r="U150" s="1131"/>
      <c r="V150" s="1139"/>
      <c r="W150" s="1140"/>
      <c r="X150" s="1122"/>
      <c r="Y150" s="1141"/>
      <c r="Z150" s="1142"/>
      <c r="AA150" s="1137"/>
      <c r="AB150" s="1138"/>
      <c r="AC150" s="1139"/>
      <c r="AD150" s="1131"/>
      <c r="AE150" s="1139"/>
      <c r="AF150" s="1131"/>
      <c r="AG150" s="1139"/>
      <c r="AH150" s="1140"/>
      <c r="AI150" s="1122"/>
      <c r="AJ150" s="1144"/>
      <c r="AK150" s="1145"/>
      <c r="AL150" s="1146"/>
    </row>
    <row r="151" spans="1:38" ht="18.75">
      <c r="A151" s="1136"/>
      <c r="B151" s="1166"/>
      <c r="C151" s="1128"/>
      <c r="D151" s="1127">
        <v>2</v>
      </c>
      <c r="E151" s="1127" t="s">
        <v>1279</v>
      </c>
      <c r="F151" s="1129">
        <v>0.3</v>
      </c>
      <c r="G151" s="1129">
        <v>0.16</v>
      </c>
      <c r="H151" s="1129">
        <v>1.5</v>
      </c>
      <c r="I151" s="1181">
        <v>1</v>
      </c>
      <c r="J151" s="1131">
        <v>9</v>
      </c>
      <c r="K151" s="1132"/>
      <c r="L151" s="1133">
        <f>I151*(((F151*G151*H151)/2)*J151)</f>
        <v>0.32400000000000007</v>
      </c>
      <c r="M151" s="1127" t="s">
        <v>1280</v>
      </c>
      <c r="N151" s="1134">
        <f>I151*(G151*H151*J151)</f>
        <v>2.16</v>
      </c>
      <c r="O151" s="1094"/>
      <c r="P151" s="1182" t="s">
        <v>1281</v>
      </c>
      <c r="Q151" s="1136">
        <v>8</v>
      </c>
      <c r="R151" s="1137"/>
      <c r="S151" s="1138">
        <v>1</v>
      </c>
      <c r="T151" s="1139">
        <f>(H151+0.4)-0.06</f>
        <v>1.8399999999999999</v>
      </c>
      <c r="U151" s="1131">
        <v>2</v>
      </c>
      <c r="V151" s="1139">
        <f>6*Q151/1000</f>
        <v>4.8000000000000001E-2</v>
      </c>
      <c r="W151" s="1140">
        <v>9</v>
      </c>
      <c r="X151" s="1122">
        <f>I151*((((T151)+(V151*U151)*S151)*W151))</f>
        <v>17.423999999999999</v>
      </c>
      <c r="Y151" s="1183" t="s">
        <v>1282</v>
      </c>
      <c r="Z151" s="1142">
        <v>13</v>
      </c>
      <c r="AA151" s="1137">
        <v>0.15</v>
      </c>
      <c r="AB151" s="1138">
        <f>($G$19)/AA151+1</f>
        <v>2</v>
      </c>
      <c r="AC151" s="1139">
        <f>1.5+3.06</f>
        <v>4.5600000000000005</v>
      </c>
      <c r="AD151" s="1131">
        <v>2</v>
      </c>
      <c r="AE151" s="1139">
        <f>6*Z151/1000</f>
        <v>7.8E-2</v>
      </c>
      <c r="AF151" s="1131">
        <v>2</v>
      </c>
      <c r="AG151" s="1143">
        <f t="shared" ref="AG151:AG155" si="118">(40*Z151/1000)*AF151</f>
        <v>1.04</v>
      </c>
      <c r="AH151" s="1140">
        <v>1</v>
      </c>
      <c r="AI151" s="1122">
        <f>$J$11*((((AC151)+(AE151*AD151)+(AG151*AF151))*AH151)*AB151)</f>
        <v>108.736</v>
      </c>
      <c r="AJ151" s="1144">
        <f t="shared" ref="AJ151:AJ156" si="119">((IF(Q151=$AK$7,X151,0)+(IF(Z151=$AK$7,AI151,0))))*$AK$9</f>
        <v>0</v>
      </c>
      <c r="AK151" s="1145">
        <f t="shared" ref="AK151:AK156" si="120">((IF(Q151=$AL$7,X151,0)+(IF(Z151=$AL$7,AI151,0))))*$AL$9</f>
        <v>113.32103466666668</v>
      </c>
      <c r="AL151" s="1146">
        <f t="shared" ref="AL151:AL156" si="121">((IF(Q151=$AM$7,X151,0)+(IF(Z151=$AM$7,AI151,0))))*$AM$9</f>
        <v>0</v>
      </c>
    </row>
    <row r="152" spans="1:38" ht="18.75">
      <c r="A152" s="1126"/>
      <c r="B152" s="1127"/>
      <c r="C152" s="1128"/>
      <c r="D152" s="1127"/>
      <c r="E152" s="1127" t="s">
        <v>1283</v>
      </c>
      <c r="F152" s="1129">
        <v>1.5</v>
      </c>
      <c r="G152" s="1129">
        <v>0.15</v>
      </c>
      <c r="H152" s="1129">
        <f>0.34*9</f>
        <v>3.06</v>
      </c>
      <c r="I152" s="1130">
        <v>1</v>
      </c>
      <c r="J152" s="1131"/>
      <c r="K152" s="1132"/>
      <c r="L152" s="1133">
        <f>I152*(F152*G152*H152)</f>
        <v>0.68849999999999989</v>
      </c>
      <c r="M152" s="1127" t="s">
        <v>1284</v>
      </c>
      <c r="N152" s="1134"/>
      <c r="O152" s="1094"/>
      <c r="P152" s="1135" t="s">
        <v>1285</v>
      </c>
      <c r="Q152" s="1136">
        <v>8</v>
      </c>
      <c r="R152" s="1137">
        <v>0.2</v>
      </c>
      <c r="S152" s="1138">
        <f>(H151/R152+1)</f>
        <v>8.5</v>
      </c>
      <c r="T152" s="1139">
        <f>(F151+G151+0.3)-(0.03*2)</f>
        <v>0.7</v>
      </c>
      <c r="U152" s="1131">
        <v>2</v>
      </c>
      <c r="V152" s="1139">
        <f>6*Q152/1000</f>
        <v>4.8000000000000001E-2</v>
      </c>
      <c r="W152" s="1140">
        <v>9</v>
      </c>
      <c r="X152" s="1122">
        <f>I151*(((((T152)+(V152*U152))*S152)*W152))</f>
        <v>60.893999999999991</v>
      </c>
      <c r="Y152" s="1141" t="s">
        <v>1286</v>
      </c>
      <c r="Z152" s="1142">
        <v>13</v>
      </c>
      <c r="AA152" s="1137">
        <v>0.15</v>
      </c>
      <c r="AB152" s="1138">
        <f>($G$19)/AA152+1</f>
        <v>2</v>
      </c>
      <c r="AC152" s="1139">
        <f>1.5+3.06</f>
        <v>4.5600000000000005</v>
      </c>
      <c r="AD152" s="1131">
        <v>2</v>
      </c>
      <c r="AE152" s="1139">
        <f>6*Z152/1000</f>
        <v>7.8E-2</v>
      </c>
      <c r="AF152" s="1131">
        <v>2</v>
      </c>
      <c r="AG152" s="1143">
        <f t="shared" si="118"/>
        <v>1.04</v>
      </c>
      <c r="AH152" s="1140">
        <v>1</v>
      </c>
      <c r="AI152" s="1122">
        <f t="shared" ref="AI152:AI153" si="122">$J$11*((((AC152)+(AE152*AD152)+(AG152*AF152))*AH152)*AB152)</f>
        <v>108.736</v>
      </c>
      <c r="AJ152" s="1144">
        <f t="shared" si="119"/>
        <v>0</v>
      </c>
      <c r="AK152" s="1145">
        <f t="shared" si="120"/>
        <v>113.32103466666668</v>
      </c>
      <c r="AL152" s="1146">
        <f t="shared" si="121"/>
        <v>0</v>
      </c>
    </row>
    <row r="153" spans="1:38" ht="18.75">
      <c r="A153" s="1126"/>
      <c r="B153" s="1127"/>
      <c r="C153" s="1128"/>
      <c r="D153" s="1127"/>
      <c r="E153" s="1127" t="s">
        <v>1287</v>
      </c>
      <c r="F153" s="1129">
        <v>1.5</v>
      </c>
      <c r="G153" s="1129">
        <v>0.15</v>
      </c>
      <c r="H153" s="1129">
        <v>1.91</v>
      </c>
      <c r="I153" s="1130">
        <v>1</v>
      </c>
      <c r="J153" s="1131"/>
      <c r="K153" s="1132"/>
      <c r="L153" s="1133">
        <f>I153*(F153*G153*H153)</f>
        <v>0.42974999999999997</v>
      </c>
      <c r="M153" s="1127" t="s">
        <v>1288</v>
      </c>
      <c r="N153" s="1134"/>
      <c r="O153" s="1094"/>
      <c r="P153" s="1135"/>
      <c r="Q153" s="1136"/>
      <c r="R153" s="1137"/>
      <c r="S153" s="1138"/>
      <c r="T153" s="1139"/>
      <c r="U153" s="1131"/>
      <c r="V153" s="1139"/>
      <c r="W153" s="1140"/>
      <c r="X153" s="1122"/>
      <c r="Y153" s="1141" t="s">
        <v>1289</v>
      </c>
      <c r="Z153" s="1142">
        <v>13</v>
      </c>
      <c r="AA153" s="1137">
        <v>0.15</v>
      </c>
      <c r="AB153" s="1138">
        <f>($G$19)/AA153+1</f>
        <v>2</v>
      </c>
      <c r="AC153" s="1139">
        <v>1.5</v>
      </c>
      <c r="AD153" s="1131">
        <v>2</v>
      </c>
      <c r="AE153" s="1139">
        <f>6*Z153/1000</f>
        <v>7.8E-2</v>
      </c>
      <c r="AF153" s="1131">
        <v>2</v>
      </c>
      <c r="AG153" s="1143">
        <f t="shared" si="118"/>
        <v>1.04</v>
      </c>
      <c r="AH153" s="1140">
        <v>1</v>
      </c>
      <c r="AI153" s="1122">
        <f t="shared" si="122"/>
        <v>59.775999999999996</v>
      </c>
      <c r="AJ153" s="1144">
        <f t="shared" si="119"/>
        <v>0</v>
      </c>
      <c r="AK153" s="1145">
        <f t="shared" si="120"/>
        <v>62.296554666666665</v>
      </c>
      <c r="AL153" s="1146">
        <f t="shared" si="121"/>
        <v>0</v>
      </c>
    </row>
    <row r="154" spans="1:38" ht="18.75">
      <c r="A154" s="1126"/>
      <c r="B154" s="1127"/>
      <c r="C154" s="1128"/>
      <c r="D154" s="1127"/>
      <c r="E154" s="1127"/>
      <c r="F154" s="1129"/>
      <c r="G154" s="1129"/>
      <c r="H154" s="1129"/>
      <c r="I154" s="1130"/>
      <c r="J154" s="1131"/>
      <c r="K154" s="1132"/>
      <c r="L154" s="1133"/>
      <c r="M154" s="1127" t="s">
        <v>1290</v>
      </c>
      <c r="N154" s="1134"/>
      <c r="O154" s="1094"/>
      <c r="P154" s="1135"/>
      <c r="Q154" s="1136"/>
      <c r="R154" s="1137"/>
      <c r="S154" s="1138"/>
      <c r="T154" s="1139"/>
      <c r="U154" s="1131"/>
      <c r="V154" s="1139"/>
      <c r="W154" s="1140"/>
      <c r="X154" s="1145"/>
      <c r="Y154" s="1184" t="s">
        <v>1294</v>
      </c>
      <c r="Z154" s="1137">
        <v>13</v>
      </c>
      <c r="AA154" s="1137">
        <v>0.15</v>
      </c>
      <c r="AB154" s="1138">
        <f>($G$19)/AA154+1</f>
        <v>2</v>
      </c>
      <c r="AC154" s="1139">
        <v>1.5</v>
      </c>
      <c r="AD154" s="1131">
        <v>2</v>
      </c>
      <c r="AE154" s="1139">
        <f t="shared" ref="AE154:AE155" si="123">6*Z154/1000</f>
        <v>7.8E-2</v>
      </c>
      <c r="AF154" s="1131">
        <v>2</v>
      </c>
      <c r="AG154" s="1143">
        <f t="shared" si="118"/>
        <v>1.04</v>
      </c>
      <c r="AH154" s="1140">
        <v>2</v>
      </c>
      <c r="AI154" s="1122">
        <f>$J$11*((((AC154)+(AE154*AD154)+(AG154*AF154))*AH154)*AB154)</f>
        <v>119.55199999999999</v>
      </c>
      <c r="AJ154" s="1144">
        <f t="shared" si="119"/>
        <v>0</v>
      </c>
      <c r="AK154" s="1145">
        <f t="shared" si="120"/>
        <v>124.59310933333333</v>
      </c>
      <c r="AL154" s="1146">
        <f t="shared" si="121"/>
        <v>0</v>
      </c>
    </row>
    <row r="155" spans="1:38" ht="18.75">
      <c r="A155" s="1126"/>
      <c r="B155" s="1127"/>
      <c r="C155" s="1128"/>
      <c r="D155" s="1127"/>
      <c r="E155" s="1127"/>
      <c r="F155" s="1129"/>
      <c r="G155" s="1129"/>
      <c r="H155" s="1129"/>
      <c r="I155" s="1130"/>
      <c r="J155" s="1131"/>
      <c r="K155" s="1132"/>
      <c r="L155" s="1133"/>
      <c r="M155" s="1127" t="s">
        <v>1292</v>
      </c>
      <c r="N155" s="1134">
        <f>I152*(F152*H152)</f>
        <v>4.59</v>
      </c>
      <c r="O155" s="1094"/>
      <c r="P155" s="1135"/>
      <c r="Q155" s="1136"/>
      <c r="R155" s="1137"/>
      <c r="S155" s="1138"/>
      <c r="T155" s="1139"/>
      <c r="U155" s="1131"/>
      <c r="V155" s="1139"/>
      <c r="W155" s="1140"/>
      <c r="X155" s="1122"/>
      <c r="Y155" s="1141" t="s">
        <v>1291</v>
      </c>
      <c r="Z155" s="1142">
        <v>8</v>
      </c>
      <c r="AA155" s="1137">
        <v>0.15</v>
      </c>
      <c r="AB155" s="1138">
        <f>(H152)/AA155+1</f>
        <v>21.400000000000002</v>
      </c>
      <c r="AC155" s="1139">
        <f>(F152+0.3)-0.06</f>
        <v>1.74</v>
      </c>
      <c r="AD155" s="1131">
        <v>2</v>
      </c>
      <c r="AE155" s="1139">
        <f t="shared" si="123"/>
        <v>4.8000000000000001E-2</v>
      </c>
      <c r="AF155" s="1131">
        <v>0</v>
      </c>
      <c r="AG155" s="1143">
        <f t="shared" si="118"/>
        <v>0</v>
      </c>
      <c r="AH155" s="1140">
        <v>2</v>
      </c>
      <c r="AI155" s="1122">
        <f>$J$11*((((AC155)+(AE155*AD155)+(AG155*AF155))*AH155)*AB155)</f>
        <v>628.64640000000009</v>
      </c>
      <c r="AJ155" s="1144">
        <f t="shared" si="119"/>
        <v>0</v>
      </c>
      <c r="AK155" s="1145">
        <f t="shared" si="120"/>
        <v>0</v>
      </c>
      <c r="AL155" s="1146">
        <f t="shared" si="121"/>
        <v>0</v>
      </c>
    </row>
    <row r="156" spans="1:38" ht="18.75">
      <c r="A156" s="1126"/>
      <c r="B156" s="1127"/>
      <c r="C156" s="1128"/>
      <c r="D156" s="1127"/>
      <c r="E156" s="1127"/>
      <c r="F156" s="1129"/>
      <c r="G156" s="1129"/>
      <c r="H156" s="1129"/>
      <c r="I156" s="1130"/>
      <c r="J156" s="1131"/>
      <c r="K156" s="1132"/>
      <c r="L156" s="1133"/>
      <c r="M156" s="1127" t="s">
        <v>1293</v>
      </c>
      <c r="N156" s="1134">
        <f>I153*(F153*H153)</f>
        <v>2.8649999999999998</v>
      </c>
      <c r="O156" s="1094"/>
      <c r="P156" s="1135"/>
      <c r="Q156" s="1136"/>
      <c r="R156" s="1137"/>
      <c r="S156" s="1138"/>
      <c r="T156" s="1139"/>
      <c r="U156" s="1131"/>
      <c r="V156" s="1139"/>
      <c r="W156" s="1140"/>
      <c r="X156" s="1122"/>
      <c r="Y156" s="1141"/>
      <c r="Z156" s="1142"/>
      <c r="AA156" s="1137"/>
      <c r="AB156" s="1138"/>
      <c r="AC156" s="1139"/>
      <c r="AD156" s="1131"/>
      <c r="AE156" s="1139"/>
      <c r="AF156" s="1131"/>
      <c r="AG156" s="1139"/>
      <c r="AH156" s="1140"/>
      <c r="AI156" s="1122"/>
      <c r="AJ156" s="1144">
        <f t="shared" si="119"/>
        <v>0</v>
      </c>
      <c r="AK156" s="1145">
        <f t="shared" si="120"/>
        <v>0</v>
      </c>
      <c r="AL156" s="1146">
        <f t="shared" si="121"/>
        <v>0</v>
      </c>
    </row>
    <row r="157" spans="1:38" ht="18.75">
      <c r="A157" s="1126"/>
      <c r="B157" s="1127"/>
      <c r="C157" s="1128"/>
      <c r="D157" s="1127"/>
      <c r="E157" s="1127"/>
      <c r="F157" s="1168"/>
      <c r="G157" s="1168"/>
      <c r="H157" s="1168"/>
      <c r="I157" s="1130"/>
      <c r="J157" s="1169"/>
      <c r="K157" s="1132"/>
      <c r="L157" s="1133"/>
      <c r="M157" s="1127"/>
      <c r="N157" s="1134"/>
      <c r="O157" s="1094"/>
      <c r="P157" s="1135"/>
      <c r="Q157" s="1136"/>
      <c r="R157" s="1137"/>
      <c r="S157" s="1138"/>
      <c r="T157" s="1139"/>
      <c r="U157" s="1131"/>
      <c r="V157" s="1139"/>
      <c r="W157" s="1140"/>
      <c r="X157" s="1122"/>
      <c r="Y157" s="1141"/>
      <c r="Z157" s="1142"/>
      <c r="AA157" s="1137"/>
      <c r="AB157" s="1138"/>
      <c r="AC157" s="1139"/>
      <c r="AD157" s="1131"/>
      <c r="AE157" s="1139"/>
      <c r="AF157" s="1131"/>
      <c r="AG157" s="1139"/>
      <c r="AH157" s="1140"/>
      <c r="AI157" s="1122"/>
      <c r="AJ157" s="1144"/>
      <c r="AK157" s="1145"/>
      <c r="AL157" s="1146"/>
    </row>
    <row r="158" spans="1:38" ht="18.75">
      <c r="A158" s="1136"/>
      <c r="B158" s="1166"/>
      <c r="C158" s="1128"/>
      <c r="D158" s="1127">
        <v>3</v>
      </c>
      <c r="E158" s="1127" t="s">
        <v>1279</v>
      </c>
      <c r="F158" s="1129">
        <v>0.3</v>
      </c>
      <c r="G158" s="1129">
        <v>0.16</v>
      </c>
      <c r="H158" s="1129">
        <v>1.5</v>
      </c>
      <c r="I158" s="1181">
        <v>1</v>
      </c>
      <c r="J158" s="1131">
        <v>8</v>
      </c>
      <c r="K158" s="1132"/>
      <c r="L158" s="1133">
        <f>I158*(((F158*G158*H158)/2)*J158)</f>
        <v>0.28800000000000003</v>
      </c>
      <c r="M158" s="1127" t="s">
        <v>1280</v>
      </c>
      <c r="N158" s="1134">
        <f>I158*(G158*H158*J158)</f>
        <v>1.92</v>
      </c>
      <c r="O158" s="1094"/>
      <c r="P158" s="1182" t="s">
        <v>1281</v>
      </c>
      <c r="Q158" s="1136">
        <v>8</v>
      </c>
      <c r="R158" s="1137"/>
      <c r="S158" s="1138">
        <v>1</v>
      </c>
      <c r="T158" s="1139">
        <f>(H158+0.4)-0.06</f>
        <v>1.8399999999999999</v>
      </c>
      <c r="U158" s="1131">
        <v>2</v>
      </c>
      <c r="V158" s="1139">
        <f>6*Q158/1000</f>
        <v>4.8000000000000001E-2</v>
      </c>
      <c r="W158" s="1140">
        <v>8</v>
      </c>
      <c r="X158" s="1122">
        <f>I158*((((T158)+(V158*U158)*S158)*W158))</f>
        <v>15.488</v>
      </c>
      <c r="Y158" s="1183" t="s">
        <v>1282</v>
      </c>
      <c r="Z158" s="1142">
        <v>13</v>
      </c>
      <c r="AA158" s="1137">
        <v>0.15</v>
      </c>
      <c r="AB158" s="1138">
        <f>($G$19)/AA158+1</f>
        <v>2</v>
      </c>
      <c r="AC158" s="1139">
        <v>4.83</v>
      </c>
      <c r="AD158" s="1131">
        <v>2</v>
      </c>
      <c r="AE158" s="1139">
        <f>6*Z158/1000</f>
        <v>7.8E-2</v>
      </c>
      <c r="AF158" s="1131">
        <v>2</v>
      </c>
      <c r="AG158" s="1143">
        <f t="shared" ref="AG158:AG162" si="124">(40*Z158/1000)*AF158</f>
        <v>1.04</v>
      </c>
      <c r="AH158" s="1140">
        <v>1</v>
      </c>
      <c r="AI158" s="1122">
        <f>$J$11*((((AC158)+(AE158*AD158)+(AG158*AF158))*AH158)*AB158)</f>
        <v>113.056</v>
      </c>
      <c r="AJ158" s="1144">
        <f t="shared" ref="AJ158:AJ163" si="125">((IF(Q158=$AK$7,X158,0)+(IF(Z158=$AK$7,AI158,0))))*$AK$9</f>
        <v>0</v>
      </c>
      <c r="AK158" s="1145">
        <f t="shared" ref="AK158:AK163" si="126">((IF(Q158=$AL$7,X158,0)+(IF(Z158=$AL$7,AI158,0))))*$AL$9</f>
        <v>117.82319466666667</v>
      </c>
      <c r="AL158" s="1146">
        <f t="shared" ref="AL158:AL163" si="127">((IF(Q158=$AM$7,X158,0)+(IF(Z158=$AM$7,AI158,0))))*$AM$9</f>
        <v>0</v>
      </c>
    </row>
    <row r="159" spans="1:38" ht="18.75">
      <c r="A159" s="1126"/>
      <c r="B159" s="1127"/>
      <c r="C159" s="1128"/>
      <c r="D159" s="1127"/>
      <c r="E159" s="1127" t="s">
        <v>1283</v>
      </c>
      <c r="F159" s="1129">
        <v>1.5</v>
      </c>
      <c r="G159" s="1129">
        <v>0.15</v>
      </c>
      <c r="H159" s="1129">
        <v>2.72</v>
      </c>
      <c r="I159" s="1130">
        <v>1</v>
      </c>
      <c r="J159" s="1131"/>
      <c r="K159" s="1132"/>
      <c r="L159" s="1133">
        <f>I159*(F159*G159*H159)</f>
        <v>0.61199999999999999</v>
      </c>
      <c r="M159" s="1127" t="s">
        <v>1284</v>
      </c>
      <c r="N159" s="1134"/>
      <c r="O159" s="1094"/>
      <c r="P159" s="1135" t="s">
        <v>1285</v>
      </c>
      <c r="Q159" s="1136">
        <v>8</v>
      </c>
      <c r="R159" s="1137">
        <v>0.2</v>
      </c>
      <c r="S159" s="1138">
        <f>(H158/R159+1)</f>
        <v>8.5</v>
      </c>
      <c r="T159" s="1139">
        <f>(F158+G158+0.3)-(0.03*2)</f>
        <v>0.7</v>
      </c>
      <c r="U159" s="1131">
        <v>2</v>
      </c>
      <c r="V159" s="1139">
        <f>6*Q159/1000</f>
        <v>4.8000000000000001E-2</v>
      </c>
      <c r="W159" s="1140">
        <v>8</v>
      </c>
      <c r="X159" s="1122">
        <f>I158*(((((T159)+(V159*U159))*S159)*W159))</f>
        <v>54.127999999999993</v>
      </c>
      <c r="Y159" s="1141" t="s">
        <v>1286</v>
      </c>
      <c r="Z159" s="1142">
        <v>13</v>
      </c>
      <c r="AA159" s="1137">
        <v>0.15</v>
      </c>
      <c r="AB159" s="1138">
        <f>($G$19)/AA159+1</f>
        <v>2</v>
      </c>
      <c r="AC159" s="1139">
        <f>0.71+2.72</f>
        <v>3.43</v>
      </c>
      <c r="AD159" s="1131">
        <v>2</v>
      </c>
      <c r="AE159" s="1139">
        <f>6*Z159/1000</f>
        <v>7.8E-2</v>
      </c>
      <c r="AF159" s="1131">
        <v>2</v>
      </c>
      <c r="AG159" s="1143">
        <f t="shared" si="124"/>
        <v>1.04</v>
      </c>
      <c r="AH159" s="1140">
        <v>1</v>
      </c>
      <c r="AI159" s="1122">
        <f t="shared" ref="AI159:AI160" si="128">$J$11*((((AC159)+(AE159*AD159)+(AG159*AF159))*AH159)*AB159)</f>
        <v>90.656000000000006</v>
      </c>
      <c r="AJ159" s="1144">
        <f t="shared" si="125"/>
        <v>0</v>
      </c>
      <c r="AK159" s="1145">
        <f t="shared" si="126"/>
        <v>94.478661333333335</v>
      </c>
      <c r="AL159" s="1146">
        <f t="shared" si="127"/>
        <v>0</v>
      </c>
    </row>
    <row r="160" spans="1:38" ht="18.75">
      <c r="A160" s="1126"/>
      <c r="B160" s="1127"/>
      <c r="C160" s="1128"/>
      <c r="D160" s="1127"/>
      <c r="E160" s="1127"/>
      <c r="F160" s="1129"/>
      <c r="G160" s="1129"/>
      <c r="H160" s="1129"/>
      <c r="I160" s="1130"/>
      <c r="J160" s="1131"/>
      <c r="K160" s="1132"/>
      <c r="L160" s="1133">
        <f>I160*(F160*G160*H160)</f>
        <v>0</v>
      </c>
      <c r="M160" s="1127" t="s">
        <v>1288</v>
      </c>
      <c r="N160" s="1134"/>
      <c r="O160" s="1094"/>
      <c r="P160" s="1135"/>
      <c r="Q160" s="1136"/>
      <c r="R160" s="1137"/>
      <c r="S160" s="1138"/>
      <c r="T160" s="1139"/>
      <c r="U160" s="1131"/>
      <c r="V160" s="1139"/>
      <c r="W160" s="1140"/>
      <c r="X160" s="1122"/>
      <c r="Y160" s="1141" t="s">
        <v>1289</v>
      </c>
      <c r="Z160" s="1142">
        <v>13</v>
      </c>
      <c r="AA160" s="1137">
        <v>0.15</v>
      </c>
      <c r="AB160" s="1138">
        <f>($G$19)/AA160+1</f>
        <v>2</v>
      </c>
      <c r="AC160" s="1139">
        <v>2.11</v>
      </c>
      <c r="AD160" s="1131">
        <v>2</v>
      </c>
      <c r="AE160" s="1139">
        <f>6*Z160/1000</f>
        <v>7.8E-2</v>
      </c>
      <c r="AF160" s="1131">
        <v>2</v>
      </c>
      <c r="AG160" s="1143">
        <f t="shared" si="124"/>
        <v>1.04</v>
      </c>
      <c r="AH160" s="1140">
        <v>1</v>
      </c>
      <c r="AI160" s="1122">
        <f t="shared" si="128"/>
        <v>69.536000000000001</v>
      </c>
      <c r="AJ160" s="1144">
        <f t="shared" si="125"/>
        <v>0</v>
      </c>
      <c r="AK160" s="1145">
        <f t="shared" si="126"/>
        <v>72.468101333333337</v>
      </c>
      <c r="AL160" s="1146">
        <f t="shared" si="127"/>
        <v>0</v>
      </c>
    </row>
    <row r="161" spans="1:38" ht="18.75">
      <c r="A161" s="1126"/>
      <c r="B161" s="1127"/>
      <c r="C161" s="1128"/>
      <c r="D161" s="1127"/>
      <c r="E161" s="1127"/>
      <c r="F161" s="1129"/>
      <c r="G161" s="1129"/>
      <c r="H161" s="1129"/>
      <c r="I161" s="1130"/>
      <c r="J161" s="1131"/>
      <c r="K161" s="1132"/>
      <c r="L161" s="1133"/>
      <c r="M161" s="1127" t="s">
        <v>1290</v>
      </c>
      <c r="N161" s="1134"/>
      <c r="O161" s="1094"/>
      <c r="P161" s="1135"/>
      <c r="Q161" s="1136"/>
      <c r="R161" s="1137"/>
      <c r="S161" s="1138"/>
      <c r="T161" s="1139"/>
      <c r="U161" s="1131"/>
      <c r="V161" s="1139"/>
      <c r="W161" s="1140"/>
      <c r="X161" s="1145"/>
      <c r="Y161" s="1184" t="s">
        <v>1294</v>
      </c>
      <c r="Z161" s="1137">
        <v>13</v>
      </c>
      <c r="AA161" s="1137">
        <v>0.15</v>
      </c>
      <c r="AB161" s="1138">
        <f>($G$19)/AA161+1</f>
        <v>2</v>
      </c>
      <c r="AC161" s="1139">
        <v>0.71</v>
      </c>
      <c r="AD161" s="1131">
        <v>2</v>
      </c>
      <c r="AE161" s="1139">
        <f t="shared" ref="AE161:AE162" si="129">6*Z161/1000</f>
        <v>7.8E-2</v>
      </c>
      <c r="AF161" s="1131">
        <v>2</v>
      </c>
      <c r="AG161" s="1143">
        <f t="shared" si="124"/>
        <v>1.04</v>
      </c>
      <c r="AH161" s="1140">
        <v>2</v>
      </c>
      <c r="AI161" s="1122">
        <f>$J$11*((((AC161)+(AE161*AD161)+(AG161*AF161))*AH161)*AB161)</f>
        <v>94.272000000000006</v>
      </c>
      <c r="AJ161" s="1144">
        <f t="shared" si="125"/>
        <v>0</v>
      </c>
      <c r="AK161" s="1145">
        <f t="shared" si="126"/>
        <v>98.247136000000012</v>
      </c>
      <c r="AL161" s="1146">
        <f t="shared" si="127"/>
        <v>0</v>
      </c>
    </row>
    <row r="162" spans="1:38" ht="18.75">
      <c r="A162" s="1126"/>
      <c r="B162" s="1127"/>
      <c r="C162" s="1128"/>
      <c r="D162" s="1127"/>
      <c r="E162" s="1127"/>
      <c r="F162" s="1129"/>
      <c r="G162" s="1129"/>
      <c r="H162" s="1129"/>
      <c r="I162" s="1130"/>
      <c r="J162" s="1131"/>
      <c r="K162" s="1132"/>
      <c r="L162" s="1133"/>
      <c r="M162" s="1127" t="s">
        <v>1292</v>
      </c>
      <c r="N162" s="1134">
        <f>I159*(F159*H159)</f>
        <v>4.08</v>
      </c>
      <c r="O162" s="1094"/>
      <c r="P162" s="1135"/>
      <c r="Q162" s="1136"/>
      <c r="R162" s="1137"/>
      <c r="S162" s="1138"/>
      <c r="T162" s="1139"/>
      <c r="U162" s="1131"/>
      <c r="V162" s="1139"/>
      <c r="W162" s="1140"/>
      <c r="X162" s="1122"/>
      <c r="Y162" s="1141" t="s">
        <v>1291</v>
      </c>
      <c r="Z162" s="1142">
        <v>8</v>
      </c>
      <c r="AA162" s="1137">
        <v>0.15</v>
      </c>
      <c r="AB162" s="1138">
        <f>(H159)/AA162+1</f>
        <v>19.133333333333336</v>
      </c>
      <c r="AC162" s="1139">
        <f>(F159+0.3)-0.06</f>
        <v>1.74</v>
      </c>
      <c r="AD162" s="1131">
        <v>2</v>
      </c>
      <c r="AE162" s="1139">
        <f t="shared" si="129"/>
        <v>4.8000000000000001E-2</v>
      </c>
      <c r="AF162" s="1131">
        <v>0</v>
      </c>
      <c r="AG162" s="1143">
        <f t="shared" si="124"/>
        <v>0</v>
      </c>
      <c r="AH162" s="1140">
        <v>2</v>
      </c>
      <c r="AI162" s="1122">
        <f>$J$11*((((AC162)+(AE162*AD162)+(AG162*AF162))*AH162)*AB162)</f>
        <v>562.06080000000009</v>
      </c>
      <c r="AJ162" s="1144">
        <f t="shared" si="125"/>
        <v>0</v>
      </c>
      <c r="AK162" s="1145">
        <f t="shared" si="126"/>
        <v>0</v>
      </c>
      <c r="AL162" s="1146">
        <f t="shared" si="127"/>
        <v>0</v>
      </c>
    </row>
    <row r="163" spans="1:38" ht="19.5" thickBot="1">
      <c r="A163" s="1126"/>
      <c r="B163" s="1127"/>
      <c r="C163" s="1128"/>
      <c r="D163" s="1127"/>
      <c r="E163" s="1127"/>
      <c r="F163" s="1129"/>
      <c r="G163" s="1129"/>
      <c r="H163" s="1129"/>
      <c r="I163" s="1130"/>
      <c r="J163" s="1131"/>
      <c r="K163" s="1132"/>
      <c r="L163" s="1133"/>
      <c r="M163" s="1127"/>
      <c r="N163" s="1134"/>
      <c r="O163" s="1094"/>
      <c r="P163" s="1135"/>
      <c r="Q163" s="1136"/>
      <c r="R163" s="1137"/>
      <c r="S163" s="1138"/>
      <c r="T163" s="1139"/>
      <c r="U163" s="1131"/>
      <c r="V163" s="1139"/>
      <c r="W163" s="1140"/>
      <c r="X163" s="1122"/>
      <c r="Y163" s="1141"/>
      <c r="Z163" s="1142"/>
      <c r="AA163" s="1137"/>
      <c r="AB163" s="1138"/>
      <c r="AC163" s="1139"/>
      <c r="AD163" s="1131"/>
      <c r="AE163" s="1139"/>
      <c r="AF163" s="1131"/>
      <c r="AG163" s="1139"/>
      <c r="AH163" s="1140"/>
      <c r="AI163" s="1122"/>
      <c r="AJ163" s="1144">
        <f t="shared" si="125"/>
        <v>0</v>
      </c>
      <c r="AK163" s="1145">
        <f t="shared" si="126"/>
        <v>0</v>
      </c>
      <c r="AL163" s="1146">
        <f t="shared" si="127"/>
        <v>0</v>
      </c>
    </row>
    <row r="164" spans="1:38" ht="20.25" thickTop="1" thickBot="1">
      <c r="A164" s="1188"/>
      <c r="B164" s="1189"/>
      <c r="C164" s="1190"/>
      <c r="D164" s="1189"/>
      <c r="E164" s="1191" t="s">
        <v>468</v>
      </c>
      <c r="F164" s="1192"/>
      <c r="G164" s="1192"/>
      <c r="H164" s="1192"/>
      <c r="I164" s="1192"/>
      <c r="J164" s="1192"/>
      <c r="K164" s="1193"/>
      <c r="L164" s="1194">
        <f>SUM(L143:L163)</f>
        <v>3.5158499999999995</v>
      </c>
      <c r="M164" s="1189"/>
      <c r="N164" s="1194">
        <f>SUM(N143:N163)</f>
        <v>23.439</v>
      </c>
      <c r="O164" s="1195"/>
      <c r="P164" s="1196"/>
      <c r="Q164" s="1188"/>
      <c r="R164" s="1197"/>
      <c r="S164" s="1198"/>
      <c r="T164" s="1199"/>
      <c r="U164" s="1200"/>
      <c r="V164" s="1199"/>
      <c r="W164" s="1201"/>
      <c r="X164" s="1202"/>
      <c r="Y164" s="1203"/>
      <c r="Z164" s="1204"/>
      <c r="AA164" s="1197"/>
      <c r="AB164" s="1198"/>
      <c r="AC164" s="1199"/>
      <c r="AD164" s="1200"/>
      <c r="AE164" s="1199"/>
      <c r="AF164" s="1200"/>
      <c r="AG164" s="1199"/>
      <c r="AH164" s="1201"/>
      <c r="AI164" s="1202"/>
      <c r="AJ164" s="1205">
        <f>SUM(AJ143:AJ163)</f>
        <v>0</v>
      </c>
      <c r="AK164" s="1205">
        <f t="shared" ref="AK164:AL164" si="130">SUM(AK143:AK163)</f>
        <v>1195.4068533333334</v>
      </c>
      <c r="AL164" s="1206">
        <f t="shared" si="130"/>
        <v>0</v>
      </c>
    </row>
    <row r="165" spans="1:38" ht="19.5" thickTop="1">
      <c r="A165" s="1136"/>
      <c r="B165" s="1148"/>
      <c r="C165" s="1128"/>
      <c r="D165" s="1127"/>
      <c r="E165" s="1127"/>
      <c r="F165" s="1129"/>
      <c r="G165" s="1129"/>
      <c r="H165" s="1129"/>
      <c r="I165" s="1181"/>
      <c r="J165" s="1131"/>
      <c r="K165" s="1132"/>
      <c r="L165" s="1133"/>
      <c r="M165" s="1127"/>
      <c r="N165" s="1134"/>
      <c r="O165" s="1094"/>
      <c r="P165" s="1182"/>
      <c r="Q165" s="1136"/>
      <c r="R165" s="1137"/>
      <c r="S165" s="1138"/>
      <c r="T165" s="1139"/>
      <c r="U165" s="1131"/>
      <c r="V165" s="1139"/>
      <c r="W165" s="1140"/>
      <c r="X165" s="1122"/>
      <c r="Y165" s="1183"/>
      <c r="Z165" s="1142"/>
      <c r="AA165" s="1137"/>
      <c r="AB165" s="1138"/>
      <c r="AC165" s="1139"/>
      <c r="AD165" s="1131"/>
      <c r="AE165" s="1139"/>
      <c r="AF165" s="1131"/>
      <c r="AG165" s="1139"/>
      <c r="AH165" s="1140"/>
      <c r="AI165" s="1122"/>
      <c r="AJ165" s="1144"/>
      <c r="AK165" s="1145"/>
      <c r="AL165" s="1207"/>
    </row>
    <row r="166" spans="1:38" ht="18.75">
      <c r="A166" s="1136"/>
      <c r="B166" s="1166" t="s">
        <v>1277</v>
      </c>
      <c r="C166" s="1128" t="s">
        <v>1295</v>
      </c>
      <c r="D166" s="1127">
        <v>1</v>
      </c>
      <c r="E166" s="1127" t="s">
        <v>1279</v>
      </c>
      <c r="F166" s="1129">
        <v>0.3</v>
      </c>
      <c r="G166" s="1129">
        <v>0.16</v>
      </c>
      <c r="H166" s="1129">
        <v>1.5</v>
      </c>
      <c r="I166" s="1181">
        <v>1</v>
      </c>
      <c r="J166" s="1131">
        <v>8</v>
      </c>
      <c r="K166" s="1132"/>
      <c r="L166" s="1133">
        <f>I166*(((F166*G166*H166)/2)*J166)</f>
        <v>0.28800000000000003</v>
      </c>
      <c r="M166" s="1127" t="s">
        <v>1280</v>
      </c>
      <c r="N166" s="1134">
        <f>I166*(G166*H166*J166)</f>
        <v>1.92</v>
      </c>
      <c r="O166" s="1094"/>
      <c r="P166" s="1182" t="s">
        <v>1281</v>
      </c>
      <c r="Q166" s="1136">
        <v>8</v>
      </c>
      <c r="R166" s="1137"/>
      <c r="S166" s="1138">
        <v>1</v>
      </c>
      <c r="T166" s="1139">
        <f>(H166+0.4)-0.06</f>
        <v>1.8399999999999999</v>
      </c>
      <c r="U166" s="1131">
        <v>2</v>
      </c>
      <c r="V166" s="1139">
        <f>6*Q166/1000</f>
        <v>4.8000000000000001E-2</v>
      </c>
      <c r="W166" s="1140">
        <v>8</v>
      </c>
      <c r="X166" s="1122">
        <f>I166*((((T166)+(V166*U166)*S166)*W166))</f>
        <v>15.488</v>
      </c>
      <c r="Y166" s="1183" t="s">
        <v>1282</v>
      </c>
      <c r="Z166" s="1142">
        <v>13</v>
      </c>
      <c r="AA166" s="1137">
        <v>0.15</v>
      </c>
      <c r="AB166" s="1138">
        <f>($G$19)/AA166+1</f>
        <v>2</v>
      </c>
      <c r="AC166" s="1139">
        <v>3.77</v>
      </c>
      <c r="AD166" s="1131">
        <v>2</v>
      </c>
      <c r="AE166" s="1139">
        <f>6*Z166/1000</f>
        <v>7.8E-2</v>
      </c>
      <c r="AF166" s="1131">
        <v>2</v>
      </c>
      <c r="AG166" s="1143">
        <f t="shared" ref="AG166:AG170" si="131">(40*Z166/1000)*AF166</f>
        <v>1.04</v>
      </c>
      <c r="AH166" s="1140">
        <v>1</v>
      </c>
      <c r="AI166" s="1122">
        <f>$J$11*((((AC166)+(AE166*AD166)+(AG166*AF166))*AH166)*AB166)</f>
        <v>96.096000000000004</v>
      </c>
      <c r="AJ166" s="1144">
        <f t="shared" ref="AJ166:AJ171" si="132">((IF(Q166=$AK$7,X166,0)+(IF(Z166=$AK$7,AI166,0))))*$AK$9</f>
        <v>0</v>
      </c>
      <c r="AK166" s="1145">
        <f t="shared" ref="AK166:AK171" si="133">((IF(Q166=$AL$7,X166,0)+(IF(Z166=$AL$7,AI166,0))))*$AL$9</f>
        <v>100.148048</v>
      </c>
      <c r="AL166" s="1146">
        <f t="shared" ref="AL166:AL171" si="134">((IF(Q166=$AM$7,X166,0)+(IF(Z166=$AM$7,AI166,0))))*$AM$9</f>
        <v>0</v>
      </c>
    </row>
    <row r="167" spans="1:38" ht="18.75">
      <c r="A167" s="1126"/>
      <c r="B167" s="1127"/>
      <c r="C167" s="1128"/>
      <c r="D167" s="1127"/>
      <c r="E167" s="1127" t="s">
        <v>1283</v>
      </c>
      <c r="F167" s="1129">
        <v>1.5</v>
      </c>
      <c r="G167" s="1129">
        <v>0.15</v>
      </c>
      <c r="H167" s="1129">
        <v>2.4</v>
      </c>
      <c r="I167" s="1130">
        <v>1</v>
      </c>
      <c r="J167" s="1131"/>
      <c r="K167" s="1132"/>
      <c r="L167" s="1133">
        <f>I167*(F167*G167*H167)</f>
        <v>0.53999999999999992</v>
      </c>
      <c r="M167" s="1127" t="s">
        <v>1284</v>
      </c>
      <c r="N167" s="1134"/>
      <c r="O167" s="1094"/>
      <c r="P167" s="1135" t="s">
        <v>1285</v>
      </c>
      <c r="Q167" s="1136">
        <v>8</v>
      </c>
      <c r="R167" s="1137">
        <v>0.2</v>
      </c>
      <c r="S167" s="1138">
        <f>(H166/R167+1)</f>
        <v>8.5</v>
      </c>
      <c r="T167" s="1139">
        <f>(F166+G166+0.3)-(0.03*2)</f>
        <v>0.7</v>
      </c>
      <c r="U167" s="1131">
        <v>2</v>
      </c>
      <c r="V167" s="1139">
        <f>6*Q167/1000</f>
        <v>4.8000000000000001E-2</v>
      </c>
      <c r="W167" s="1140">
        <v>8</v>
      </c>
      <c r="X167" s="1122">
        <f>I166*(((((T167)+(V167*U167))*S167)*W167))</f>
        <v>54.127999999999993</v>
      </c>
      <c r="Y167" s="1141" t="s">
        <v>1286</v>
      </c>
      <c r="Z167" s="1142">
        <v>13</v>
      </c>
      <c r="AA167" s="1137">
        <v>0.15</v>
      </c>
      <c r="AB167" s="1138">
        <f>($G$19)/AA167+1</f>
        <v>2</v>
      </c>
      <c r="AC167" s="1139">
        <v>4.12</v>
      </c>
      <c r="AD167" s="1131">
        <v>2</v>
      </c>
      <c r="AE167" s="1139">
        <f>6*Z167/1000</f>
        <v>7.8E-2</v>
      </c>
      <c r="AF167" s="1131">
        <v>2</v>
      </c>
      <c r="AG167" s="1143">
        <f t="shared" si="131"/>
        <v>1.04</v>
      </c>
      <c r="AH167" s="1140">
        <v>1</v>
      </c>
      <c r="AI167" s="1122">
        <f t="shared" ref="AI167:AI168" si="135">$J$11*((((AC167)+(AE167*AD167)+(AG167*AF167))*AH167)*AB167)</f>
        <v>101.696</v>
      </c>
      <c r="AJ167" s="1144">
        <f t="shared" si="132"/>
        <v>0</v>
      </c>
      <c r="AK167" s="1145">
        <f t="shared" si="133"/>
        <v>105.98418133333334</v>
      </c>
      <c r="AL167" s="1146">
        <f t="shared" si="134"/>
        <v>0</v>
      </c>
    </row>
    <row r="168" spans="1:38" ht="18.75">
      <c r="A168" s="1126"/>
      <c r="B168" s="1127"/>
      <c r="C168" s="1128"/>
      <c r="D168" s="1127"/>
      <c r="E168" s="1127" t="s">
        <v>1287</v>
      </c>
      <c r="F168" s="1129">
        <v>1.5</v>
      </c>
      <c r="G168" s="1129">
        <v>0.15</v>
      </c>
      <c r="H168" s="1129">
        <v>1.536</v>
      </c>
      <c r="I168" s="1130">
        <v>1</v>
      </c>
      <c r="J168" s="1131"/>
      <c r="K168" s="1132"/>
      <c r="L168" s="1133">
        <f>I168*(F168*G168*H168)</f>
        <v>0.34559999999999996</v>
      </c>
      <c r="M168" s="1127" t="s">
        <v>1288</v>
      </c>
      <c r="N168" s="1134"/>
      <c r="O168" s="1094"/>
      <c r="P168" s="1135"/>
      <c r="Q168" s="1136"/>
      <c r="R168" s="1137"/>
      <c r="S168" s="1138"/>
      <c r="T168" s="1139"/>
      <c r="U168" s="1131"/>
      <c r="V168" s="1139"/>
      <c r="W168" s="1140"/>
      <c r="X168" s="1122"/>
      <c r="Y168" s="1141" t="s">
        <v>1289</v>
      </c>
      <c r="Z168" s="1142">
        <v>13</v>
      </c>
      <c r="AA168" s="1137">
        <v>0.15</v>
      </c>
      <c r="AB168" s="1138">
        <f>($G$19)/AA168+1</f>
        <v>2</v>
      </c>
      <c r="AC168" s="1139">
        <v>1.37</v>
      </c>
      <c r="AD168" s="1131">
        <v>2</v>
      </c>
      <c r="AE168" s="1139">
        <f>6*Z168/1000</f>
        <v>7.8E-2</v>
      </c>
      <c r="AF168" s="1131">
        <v>2</v>
      </c>
      <c r="AG168" s="1143">
        <f t="shared" si="131"/>
        <v>1.04</v>
      </c>
      <c r="AH168" s="1140">
        <v>1</v>
      </c>
      <c r="AI168" s="1122">
        <f t="shared" si="135"/>
        <v>57.695999999999998</v>
      </c>
      <c r="AJ168" s="1144">
        <f t="shared" si="132"/>
        <v>0</v>
      </c>
      <c r="AK168" s="1145">
        <f t="shared" si="133"/>
        <v>60.128847999999998</v>
      </c>
      <c r="AL168" s="1146">
        <f t="shared" si="134"/>
        <v>0</v>
      </c>
    </row>
    <row r="169" spans="1:38" ht="18.75">
      <c r="A169" s="1126"/>
      <c r="B169" s="1127"/>
      <c r="C169" s="1128"/>
      <c r="D169" s="1127"/>
      <c r="E169" s="1127"/>
      <c r="F169" s="1129"/>
      <c r="G169" s="1129"/>
      <c r="H169" s="1129"/>
      <c r="I169" s="1130"/>
      <c r="J169" s="1131"/>
      <c r="K169" s="1132"/>
      <c r="L169" s="1133"/>
      <c r="M169" s="1127" t="s">
        <v>1290</v>
      </c>
      <c r="N169" s="1134"/>
      <c r="O169" s="1094"/>
      <c r="P169" s="1135"/>
      <c r="Q169" s="1136"/>
      <c r="R169" s="1137"/>
      <c r="S169" s="1138"/>
      <c r="T169" s="1139"/>
      <c r="U169" s="1131"/>
      <c r="V169" s="1139"/>
      <c r="W169" s="1140"/>
      <c r="X169" s="1145"/>
      <c r="Y169" s="1184" t="s">
        <v>1294</v>
      </c>
      <c r="Z169" s="1137">
        <v>13</v>
      </c>
      <c r="AA169" s="1137">
        <v>0.15</v>
      </c>
      <c r="AB169" s="1138">
        <f>($G$19)/AA169+1</f>
        <v>2</v>
      </c>
      <c r="AC169" s="1139">
        <v>1.74</v>
      </c>
      <c r="AD169" s="1131">
        <v>2</v>
      </c>
      <c r="AE169" s="1139">
        <f t="shared" ref="AE169:AE170" si="136">6*Z169/1000</f>
        <v>7.8E-2</v>
      </c>
      <c r="AF169" s="1131">
        <v>2</v>
      </c>
      <c r="AG169" s="1143">
        <f t="shared" si="131"/>
        <v>1.04</v>
      </c>
      <c r="AH169" s="1140">
        <v>2</v>
      </c>
      <c r="AI169" s="1122">
        <f>$J$11*((((AC169)+(AE169*AD169)+(AG169*AF169))*AH169)*AB169)</f>
        <v>127.232</v>
      </c>
      <c r="AJ169" s="1144">
        <f t="shared" si="132"/>
        <v>0</v>
      </c>
      <c r="AK169" s="1145">
        <f t="shared" si="133"/>
        <v>132.59694933333333</v>
      </c>
      <c r="AL169" s="1146">
        <f t="shared" si="134"/>
        <v>0</v>
      </c>
    </row>
    <row r="170" spans="1:38" ht="18.75">
      <c r="A170" s="1126"/>
      <c r="B170" s="1127"/>
      <c r="C170" s="1128"/>
      <c r="D170" s="1127"/>
      <c r="E170" s="1127"/>
      <c r="F170" s="1129"/>
      <c r="G170" s="1129"/>
      <c r="H170" s="1129"/>
      <c r="I170" s="1130"/>
      <c r="J170" s="1131"/>
      <c r="K170" s="1132"/>
      <c r="L170" s="1133"/>
      <c r="M170" s="1127" t="s">
        <v>1292</v>
      </c>
      <c r="N170" s="1134">
        <f>I167*(F167*H167)</f>
        <v>3.5999999999999996</v>
      </c>
      <c r="O170" s="1094"/>
      <c r="P170" s="1135"/>
      <c r="Q170" s="1136"/>
      <c r="R170" s="1137"/>
      <c r="S170" s="1138"/>
      <c r="T170" s="1139"/>
      <c r="U170" s="1131"/>
      <c r="V170" s="1139"/>
      <c r="W170" s="1140"/>
      <c r="X170" s="1122"/>
      <c r="Y170" s="1141" t="s">
        <v>1291</v>
      </c>
      <c r="Z170" s="1142">
        <v>8</v>
      </c>
      <c r="AA170" s="1137">
        <v>0.15</v>
      </c>
      <c r="AB170" s="1138">
        <f>(H167)/AA170+1</f>
        <v>17</v>
      </c>
      <c r="AC170" s="1139">
        <f>(F167+0.3)-0.06</f>
        <v>1.74</v>
      </c>
      <c r="AD170" s="1131">
        <v>2</v>
      </c>
      <c r="AE170" s="1139">
        <f t="shared" si="136"/>
        <v>4.8000000000000001E-2</v>
      </c>
      <c r="AF170" s="1131">
        <v>0</v>
      </c>
      <c r="AG170" s="1143">
        <f t="shared" si="131"/>
        <v>0</v>
      </c>
      <c r="AH170" s="1140">
        <v>2</v>
      </c>
      <c r="AI170" s="1122">
        <f>$J$11*((((AC170)+(AE170*AD170)+(AG170*AF170))*AH170)*AB170)</f>
        <v>499.392</v>
      </c>
      <c r="AJ170" s="1144">
        <f t="shared" si="132"/>
        <v>0</v>
      </c>
      <c r="AK170" s="1145">
        <f t="shared" si="133"/>
        <v>0</v>
      </c>
      <c r="AL170" s="1146">
        <f t="shared" si="134"/>
        <v>0</v>
      </c>
    </row>
    <row r="171" spans="1:38" ht="18.75">
      <c r="A171" s="1126"/>
      <c r="B171" s="1127"/>
      <c r="C171" s="1128"/>
      <c r="D171" s="1127"/>
      <c r="E171" s="1127"/>
      <c r="F171" s="1129"/>
      <c r="G171" s="1129"/>
      <c r="H171" s="1129"/>
      <c r="I171" s="1130"/>
      <c r="J171" s="1131"/>
      <c r="K171" s="1132"/>
      <c r="L171" s="1133"/>
      <c r="M171" s="1127" t="s">
        <v>1293</v>
      </c>
      <c r="N171" s="1134">
        <f>I168*(F168*H168)</f>
        <v>2.3040000000000003</v>
      </c>
      <c r="O171" s="1094"/>
      <c r="P171" s="1135"/>
      <c r="Q171" s="1136"/>
      <c r="R171" s="1137"/>
      <c r="S171" s="1138"/>
      <c r="T171" s="1139"/>
      <c r="U171" s="1131"/>
      <c r="V171" s="1139"/>
      <c r="W171" s="1140"/>
      <c r="X171" s="1122"/>
      <c r="Y171" s="1141"/>
      <c r="Z171" s="1142"/>
      <c r="AA171" s="1137"/>
      <c r="AB171" s="1138"/>
      <c r="AC171" s="1139"/>
      <c r="AD171" s="1131"/>
      <c r="AE171" s="1139"/>
      <c r="AF171" s="1131"/>
      <c r="AG171" s="1139"/>
      <c r="AH171" s="1140"/>
      <c r="AI171" s="1122"/>
      <c r="AJ171" s="1144">
        <f t="shared" si="132"/>
        <v>0</v>
      </c>
      <c r="AK171" s="1145">
        <f t="shared" si="133"/>
        <v>0</v>
      </c>
      <c r="AL171" s="1146">
        <f t="shared" si="134"/>
        <v>0</v>
      </c>
    </row>
    <row r="172" spans="1:38" ht="18.75">
      <c r="A172" s="1126"/>
      <c r="B172" s="1127"/>
      <c r="C172" s="1128"/>
      <c r="D172" s="1127"/>
      <c r="E172" s="1127"/>
      <c r="F172" s="1168"/>
      <c r="G172" s="1168"/>
      <c r="H172" s="1168"/>
      <c r="I172" s="1130"/>
      <c r="J172" s="1169"/>
      <c r="K172" s="1132"/>
      <c r="L172" s="1133"/>
      <c r="M172" s="1127"/>
      <c r="N172" s="1134"/>
      <c r="O172" s="1094"/>
      <c r="P172" s="1135"/>
      <c r="Q172" s="1136"/>
      <c r="R172" s="1137"/>
      <c r="S172" s="1138"/>
      <c r="T172" s="1139"/>
      <c r="U172" s="1131"/>
      <c r="V172" s="1139"/>
      <c r="W172" s="1140"/>
      <c r="X172" s="1122"/>
      <c r="Y172" s="1141"/>
      <c r="Z172" s="1142"/>
      <c r="AA172" s="1137"/>
      <c r="AB172" s="1138"/>
      <c r="AC172" s="1139"/>
      <c r="AD172" s="1131"/>
      <c r="AE172" s="1139"/>
      <c r="AF172" s="1131"/>
      <c r="AG172" s="1139"/>
      <c r="AH172" s="1140"/>
      <c r="AI172" s="1122"/>
      <c r="AJ172" s="1144"/>
      <c r="AK172" s="1145"/>
      <c r="AL172" s="1146"/>
    </row>
    <row r="173" spans="1:38" ht="18.75">
      <c r="A173" s="1136"/>
      <c r="B173" s="1166"/>
      <c r="C173" s="1128"/>
      <c r="D173" s="1127">
        <v>2</v>
      </c>
      <c r="E173" s="1127" t="s">
        <v>1279</v>
      </c>
      <c r="F173" s="1129">
        <v>0.3</v>
      </c>
      <c r="G173" s="1129">
        <v>0.16</v>
      </c>
      <c r="H173" s="1129">
        <v>1.5</v>
      </c>
      <c r="I173" s="1181">
        <v>1</v>
      </c>
      <c r="J173" s="1131">
        <v>9</v>
      </c>
      <c r="K173" s="1132"/>
      <c r="L173" s="1133">
        <f>I173*(((F173*G173*H173)/2)*J173)</f>
        <v>0.32400000000000007</v>
      </c>
      <c r="M173" s="1127" t="s">
        <v>1280</v>
      </c>
      <c r="N173" s="1134">
        <f>I173*(G173*H173*J173)</f>
        <v>2.16</v>
      </c>
      <c r="O173" s="1094"/>
      <c r="P173" s="1182" t="s">
        <v>1281</v>
      </c>
      <c r="Q173" s="1136">
        <v>8</v>
      </c>
      <c r="R173" s="1137"/>
      <c r="S173" s="1138">
        <v>1</v>
      </c>
      <c r="T173" s="1139">
        <f>(H173+0.4)-0.06</f>
        <v>1.8399999999999999</v>
      </c>
      <c r="U173" s="1131">
        <v>2</v>
      </c>
      <c r="V173" s="1139">
        <f>6*Q173/1000</f>
        <v>4.8000000000000001E-2</v>
      </c>
      <c r="W173" s="1140">
        <v>9</v>
      </c>
      <c r="X173" s="1122">
        <f>I173*((((T173)+(V173*U173)*S173)*W173))</f>
        <v>17.423999999999999</v>
      </c>
      <c r="Y173" s="1183" t="s">
        <v>1282</v>
      </c>
      <c r="Z173" s="1142">
        <v>13</v>
      </c>
      <c r="AA173" s="1137">
        <v>0.15</v>
      </c>
      <c r="AB173" s="1138">
        <f>($G$19)/AA173+1</f>
        <v>2</v>
      </c>
      <c r="AC173" s="1139">
        <f>1.5+3.06</f>
        <v>4.5600000000000005</v>
      </c>
      <c r="AD173" s="1131">
        <v>2</v>
      </c>
      <c r="AE173" s="1139">
        <f>6*Z173/1000</f>
        <v>7.8E-2</v>
      </c>
      <c r="AF173" s="1131">
        <v>2</v>
      </c>
      <c r="AG173" s="1143">
        <f t="shared" ref="AG173:AG177" si="137">(40*Z173/1000)*AF173</f>
        <v>1.04</v>
      </c>
      <c r="AH173" s="1140">
        <v>1</v>
      </c>
      <c r="AI173" s="1122">
        <f>$J$11*((((AC173)+(AE173*AD173)+(AG173*AF173))*AH173)*AB173)</f>
        <v>108.736</v>
      </c>
      <c r="AJ173" s="1144">
        <f t="shared" ref="AJ173:AJ178" si="138">((IF(Q173=$AK$7,X173,0)+(IF(Z173=$AK$7,AI173,0))))*$AK$9</f>
        <v>0</v>
      </c>
      <c r="AK173" s="1145">
        <f t="shared" ref="AK173:AK178" si="139">((IF(Q173=$AL$7,X173,0)+(IF(Z173=$AL$7,AI173,0))))*$AL$9</f>
        <v>113.32103466666668</v>
      </c>
      <c r="AL173" s="1146">
        <f t="shared" ref="AL173:AL178" si="140">((IF(Q173=$AM$7,X173,0)+(IF(Z173=$AM$7,AI173,0))))*$AM$9</f>
        <v>0</v>
      </c>
    </row>
    <row r="174" spans="1:38" ht="18.75">
      <c r="A174" s="1126"/>
      <c r="B174" s="1127"/>
      <c r="C174" s="1128"/>
      <c r="D174" s="1127"/>
      <c r="E174" s="1127" t="s">
        <v>1283</v>
      </c>
      <c r="F174" s="1129">
        <v>1.5</v>
      </c>
      <c r="G174" s="1129">
        <v>0.15</v>
      </c>
      <c r="H174" s="1129">
        <f>0.34*9</f>
        <v>3.06</v>
      </c>
      <c r="I174" s="1130">
        <v>1</v>
      </c>
      <c r="J174" s="1131"/>
      <c r="K174" s="1132"/>
      <c r="L174" s="1133">
        <f>I174*(F174*G174*H174)</f>
        <v>0.68849999999999989</v>
      </c>
      <c r="M174" s="1127" t="s">
        <v>1284</v>
      </c>
      <c r="N174" s="1134"/>
      <c r="O174" s="1094"/>
      <c r="P174" s="1135" t="s">
        <v>1285</v>
      </c>
      <c r="Q174" s="1136">
        <v>8</v>
      </c>
      <c r="R174" s="1137">
        <v>0.2</v>
      </c>
      <c r="S174" s="1138">
        <f>(H173/R174+1)</f>
        <v>8.5</v>
      </c>
      <c r="T174" s="1139">
        <f>(F173+G173+0.3)-(0.03*2)</f>
        <v>0.7</v>
      </c>
      <c r="U174" s="1131">
        <v>2</v>
      </c>
      <c r="V174" s="1139">
        <f>6*Q174/1000</f>
        <v>4.8000000000000001E-2</v>
      </c>
      <c r="W174" s="1140">
        <v>9</v>
      </c>
      <c r="X174" s="1122">
        <f>I173*(((((T174)+(V174*U174))*S174)*W174))</f>
        <v>60.893999999999991</v>
      </c>
      <c r="Y174" s="1141" t="s">
        <v>1286</v>
      </c>
      <c r="Z174" s="1142">
        <v>13</v>
      </c>
      <c r="AA174" s="1137">
        <v>0.15</v>
      </c>
      <c r="AB174" s="1138">
        <f>($G$19)/AA174+1</f>
        <v>2</v>
      </c>
      <c r="AC174" s="1139">
        <f>1.5+3.06</f>
        <v>4.5600000000000005</v>
      </c>
      <c r="AD174" s="1131">
        <v>2</v>
      </c>
      <c r="AE174" s="1139">
        <f>6*Z174/1000</f>
        <v>7.8E-2</v>
      </c>
      <c r="AF174" s="1131">
        <v>2</v>
      </c>
      <c r="AG174" s="1143">
        <f t="shared" si="137"/>
        <v>1.04</v>
      </c>
      <c r="AH174" s="1140">
        <v>1</v>
      </c>
      <c r="AI174" s="1122">
        <f t="shared" ref="AI174:AI175" si="141">$J$11*((((AC174)+(AE174*AD174)+(AG174*AF174))*AH174)*AB174)</f>
        <v>108.736</v>
      </c>
      <c r="AJ174" s="1144">
        <f t="shared" si="138"/>
        <v>0</v>
      </c>
      <c r="AK174" s="1145">
        <f t="shared" si="139"/>
        <v>113.32103466666668</v>
      </c>
      <c r="AL174" s="1146">
        <f t="shared" si="140"/>
        <v>0</v>
      </c>
    </row>
    <row r="175" spans="1:38" ht="18.75">
      <c r="A175" s="1126"/>
      <c r="B175" s="1127"/>
      <c r="C175" s="1128"/>
      <c r="D175" s="1127"/>
      <c r="E175" s="1127" t="s">
        <v>1287</v>
      </c>
      <c r="F175" s="1129">
        <v>1.5</v>
      </c>
      <c r="G175" s="1129">
        <v>0.15</v>
      </c>
      <c r="H175" s="1129">
        <v>1.91</v>
      </c>
      <c r="I175" s="1130">
        <v>1</v>
      </c>
      <c r="J175" s="1131"/>
      <c r="K175" s="1132"/>
      <c r="L175" s="1133">
        <f>I175*(F175*G175*H175)</f>
        <v>0.42974999999999997</v>
      </c>
      <c r="M175" s="1127" t="s">
        <v>1288</v>
      </c>
      <c r="N175" s="1134"/>
      <c r="O175" s="1094"/>
      <c r="P175" s="1135"/>
      <c r="Q175" s="1136"/>
      <c r="R175" s="1137"/>
      <c r="S175" s="1138"/>
      <c r="T175" s="1139"/>
      <c r="U175" s="1131"/>
      <c r="V175" s="1139"/>
      <c r="W175" s="1140"/>
      <c r="X175" s="1122"/>
      <c r="Y175" s="1141" t="s">
        <v>1289</v>
      </c>
      <c r="Z175" s="1142">
        <v>13</v>
      </c>
      <c r="AA175" s="1137">
        <v>0.15</v>
      </c>
      <c r="AB175" s="1138">
        <f>($G$19)/AA175+1</f>
        <v>2</v>
      </c>
      <c r="AC175" s="1139">
        <v>1.5</v>
      </c>
      <c r="AD175" s="1131">
        <v>2</v>
      </c>
      <c r="AE175" s="1139">
        <f>6*Z175/1000</f>
        <v>7.8E-2</v>
      </c>
      <c r="AF175" s="1131">
        <v>2</v>
      </c>
      <c r="AG175" s="1143">
        <f t="shared" si="137"/>
        <v>1.04</v>
      </c>
      <c r="AH175" s="1140">
        <v>1</v>
      </c>
      <c r="AI175" s="1122">
        <f t="shared" si="141"/>
        <v>59.775999999999996</v>
      </c>
      <c r="AJ175" s="1144">
        <f t="shared" si="138"/>
        <v>0</v>
      </c>
      <c r="AK175" s="1145">
        <f t="shared" si="139"/>
        <v>62.296554666666665</v>
      </c>
      <c r="AL175" s="1146">
        <f t="shared" si="140"/>
        <v>0</v>
      </c>
    </row>
    <row r="176" spans="1:38" ht="18.75">
      <c r="A176" s="1126"/>
      <c r="B176" s="1127"/>
      <c r="C176" s="1128"/>
      <c r="D176" s="1127"/>
      <c r="E176" s="1127"/>
      <c r="F176" s="1129"/>
      <c r="G176" s="1129"/>
      <c r="H176" s="1129"/>
      <c r="I176" s="1130"/>
      <c r="J176" s="1131"/>
      <c r="K176" s="1132"/>
      <c r="L176" s="1133"/>
      <c r="M176" s="1127" t="s">
        <v>1290</v>
      </c>
      <c r="N176" s="1134"/>
      <c r="O176" s="1094"/>
      <c r="P176" s="1135"/>
      <c r="Q176" s="1136"/>
      <c r="R176" s="1137"/>
      <c r="S176" s="1138"/>
      <c r="T176" s="1139"/>
      <c r="U176" s="1131"/>
      <c r="V176" s="1139"/>
      <c r="W176" s="1140"/>
      <c r="X176" s="1145"/>
      <c r="Y176" s="1184" t="s">
        <v>1294</v>
      </c>
      <c r="Z176" s="1137">
        <v>13</v>
      </c>
      <c r="AA176" s="1137">
        <v>0.15</v>
      </c>
      <c r="AB176" s="1138">
        <f>($G$19)/AA176+1</f>
        <v>2</v>
      </c>
      <c r="AC176" s="1139">
        <v>1.5</v>
      </c>
      <c r="AD176" s="1131">
        <v>2</v>
      </c>
      <c r="AE176" s="1139">
        <f t="shared" ref="AE176:AE177" si="142">6*Z176/1000</f>
        <v>7.8E-2</v>
      </c>
      <c r="AF176" s="1131">
        <v>2</v>
      </c>
      <c r="AG176" s="1143">
        <f t="shared" si="137"/>
        <v>1.04</v>
      </c>
      <c r="AH176" s="1140">
        <v>2</v>
      </c>
      <c r="AI176" s="1122">
        <f>$J$11*((((AC176)+(AE176*AD176)+(AG176*AF176))*AH176)*AB176)</f>
        <v>119.55199999999999</v>
      </c>
      <c r="AJ176" s="1144">
        <f t="shared" si="138"/>
        <v>0</v>
      </c>
      <c r="AK176" s="1145">
        <f t="shared" si="139"/>
        <v>124.59310933333333</v>
      </c>
      <c r="AL176" s="1146">
        <f t="shared" si="140"/>
        <v>0</v>
      </c>
    </row>
    <row r="177" spans="1:38" ht="18.75">
      <c r="A177" s="1126"/>
      <c r="B177" s="1127"/>
      <c r="C177" s="1128"/>
      <c r="D177" s="1127"/>
      <c r="E177" s="1127"/>
      <c r="F177" s="1129"/>
      <c r="G177" s="1129"/>
      <c r="H177" s="1129"/>
      <c r="I177" s="1130"/>
      <c r="J177" s="1131"/>
      <c r="K177" s="1132"/>
      <c r="L177" s="1133"/>
      <c r="M177" s="1127" t="s">
        <v>1292</v>
      </c>
      <c r="N177" s="1134">
        <f>I174*(F174*H174)</f>
        <v>4.59</v>
      </c>
      <c r="O177" s="1094"/>
      <c r="P177" s="1135"/>
      <c r="Q177" s="1136"/>
      <c r="R177" s="1137"/>
      <c r="S177" s="1138"/>
      <c r="T177" s="1139"/>
      <c r="U177" s="1131"/>
      <c r="V177" s="1139"/>
      <c r="W177" s="1140"/>
      <c r="X177" s="1122"/>
      <c r="Y177" s="1141" t="s">
        <v>1291</v>
      </c>
      <c r="Z177" s="1142">
        <v>8</v>
      </c>
      <c r="AA177" s="1137">
        <v>0.15</v>
      </c>
      <c r="AB177" s="1138">
        <f>(H174)/AA177+1</f>
        <v>21.400000000000002</v>
      </c>
      <c r="AC177" s="1139">
        <f>(F174+0.3)-0.06</f>
        <v>1.74</v>
      </c>
      <c r="AD177" s="1131">
        <v>2</v>
      </c>
      <c r="AE177" s="1139">
        <f t="shared" si="142"/>
        <v>4.8000000000000001E-2</v>
      </c>
      <c r="AF177" s="1131">
        <v>0</v>
      </c>
      <c r="AG177" s="1143">
        <f t="shared" si="137"/>
        <v>0</v>
      </c>
      <c r="AH177" s="1140">
        <v>2</v>
      </c>
      <c r="AI177" s="1122">
        <f>$J$11*((((AC177)+(AE177*AD177)+(AG177*AF177))*AH177)*AB177)</f>
        <v>628.64640000000009</v>
      </c>
      <c r="AJ177" s="1144">
        <f t="shared" si="138"/>
        <v>0</v>
      </c>
      <c r="AK177" s="1145">
        <f t="shared" si="139"/>
        <v>0</v>
      </c>
      <c r="AL177" s="1146">
        <f t="shared" si="140"/>
        <v>0</v>
      </c>
    </row>
    <row r="178" spans="1:38" ht="18.75">
      <c r="A178" s="1126"/>
      <c r="B178" s="1127"/>
      <c r="C178" s="1128"/>
      <c r="D178" s="1127"/>
      <c r="E178" s="1127"/>
      <c r="F178" s="1129"/>
      <c r="G178" s="1129"/>
      <c r="H178" s="1129"/>
      <c r="I178" s="1130"/>
      <c r="J178" s="1131"/>
      <c r="K178" s="1132"/>
      <c r="L178" s="1133"/>
      <c r="M178" s="1127" t="s">
        <v>1293</v>
      </c>
      <c r="N178" s="1134">
        <f>I175*(F175*H175)</f>
        <v>2.8649999999999998</v>
      </c>
      <c r="O178" s="1094"/>
      <c r="P178" s="1135"/>
      <c r="Q178" s="1136"/>
      <c r="R178" s="1137"/>
      <c r="S178" s="1138"/>
      <c r="T178" s="1139"/>
      <c r="U178" s="1131"/>
      <c r="V178" s="1139"/>
      <c r="W178" s="1140"/>
      <c r="X178" s="1122"/>
      <c r="Y178" s="1141"/>
      <c r="Z178" s="1142"/>
      <c r="AA178" s="1137"/>
      <c r="AB178" s="1138"/>
      <c r="AC178" s="1139"/>
      <c r="AD178" s="1131"/>
      <c r="AE178" s="1139"/>
      <c r="AF178" s="1131"/>
      <c r="AG178" s="1139"/>
      <c r="AH178" s="1140"/>
      <c r="AI178" s="1122"/>
      <c r="AJ178" s="1144">
        <f t="shared" si="138"/>
        <v>0</v>
      </c>
      <c r="AK178" s="1145">
        <f t="shared" si="139"/>
        <v>0</v>
      </c>
      <c r="AL178" s="1146">
        <f t="shared" si="140"/>
        <v>0</v>
      </c>
    </row>
    <row r="179" spans="1:38" ht="18.75">
      <c r="A179" s="1126"/>
      <c r="B179" s="1127"/>
      <c r="C179" s="1128"/>
      <c r="D179" s="1127"/>
      <c r="E179" s="1127"/>
      <c r="F179" s="1168"/>
      <c r="G179" s="1168"/>
      <c r="H179" s="1168"/>
      <c r="I179" s="1130"/>
      <c r="J179" s="1169"/>
      <c r="K179" s="1132"/>
      <c r="L179" s="1133"/>
      <c r="M179" s="1127"/>
      <c r="N179" s="1134"/>
      <c r="O179" s="1094"/>
      <c r="P179" s="1135"/>
      <c r="Q179" s="1136"/>
      <c r="R179" s="1137"/>
      <c r="S179" s="1138"/>
      <c r="T179" s="1139"/>
      <c r="U179" s="1131"/>
      <c r="V179" s="1139"/>
      <c r="W179" s="1140"/>
      <c r="X179" s="1122"/>
      <c r="Y179" s="1141"/>
      <c r="Z179" s="1142"/>
      <c r="AA179" s="1137"/>
      <c r="AB179" s="1138"/>
      <c r="AC179" s="1139"/>
      <c r="AD179" s="1131"/>
      <c r="AE179" s="1139"/>
      <c r="AF179" s="1131"/>
      <c r="AG179" s="1139"/>
      <c r="AH179" s="1140"/>
      <c r="AI179" s="1122"/>
      <c r="AJ179" s="1144"/>
      <c r="AK179" s="1145"/>
      <c r="AL179" s="1146"/>
    </row>
    <row r="180" spans="1:38" ht="18.75">
      <c r="A180" s="1136"/>
      <c r="B180" s="1166"/>
      <c r="C180" s="1128"/>
      <c r="D180" s="1127">
        <v>3</v>
      </c>
      <c r="E180" s="1127" t="s">
        <v>1279</v>
      </c>
      <c r="F180" s="1129">
        <v>0.3</v>
      </c>
      <c r="G180" s="1129">
        <v>0.16</v>
      </c>
      <c r="H180" s="1129">
        <v>1.5</v>
      </c>
      <c r="I180" s="1181">
        <v>1</v>
      </c>
      <c r="J180" s="1131">
        <v>8</v>
      </c>
      <c r="K180" s="1132"/>
      <c r="L180" s="1133">
        <f>I180*(((F180*G180*H180)/2)*J180)</f>
        <v>0.28800000000000003</v>
      </c>
      <c r="M180" s="1127" t="s">
        <v>1280</v>
      </c>
      <c r="N180" s="1134">
        <f>I180*(G180*H180*J180)</f>
        <v>1.92</v>
      </c>
      <c r="O180" s="1094"/>
      <c r="P180" s="1182" t="s">
        <v>1281</v>
      </c>
      <c r="Q180" s="1136">
        <v>8</v>
      </c>
      <c r="R180" s="1137"/>
      <c r="S180" s="1138">
        <v>1</v>
      </c>
      <c r="T180" s="1139">
        <f>(H180+0.4)-0.06</f>
        <v>1.8399999999999999</v>
      </c>
      <c r="U180" s="1131">
        <v>2</v>
      </c>
      <c r="V180" s="1139">
        <f>6*Q180/1000</f>
        <v>4.8000000000000001E-2</v>
      </c>
      <c r="W180" s="1140">
        <v>8</v>
      </c>
      <c r="X180" s="1122">
        <f>I180*((((T180)+(V180*U180)*S180)*W180))</f>
        <v>15.488</v>
      </c>
      <c r="Y180" s="1183" t="s">
        <v>1282</v>
      </c>
      <c r="Z180" s="1142">
        <v>13</v>
      </c>
      <c r="AA180" s="1137">
        <v>0.15</v>
      </c>
      <c r="AB180" s="1138">
        <f>($G$19)/AA180+1</f>
        <v>2</v>
      </c>
      <c r="AC180" s="1139">
        <v>4.83</v>
      </c>
      <c r="AD180" s="1131">
        <v>2</v>
      </c>
      <c r="AE180" s="1139">
        <f>6*Z180/1000</f>
        <v>7.8E-2</v>
      </c>
      <c r="AF180" s="1131">
        <v>2</v>
      </c>
      <c r="AG180" s="1143">
        <f t="shared" ref="AG180:AG184" si="143">(40*Z180/1000)*AF180</f>
        <v>1.04</v>
      </c>
      <c r="AH180" s="1140">
        <v>1</v>
      </c>
      <c r="AI180" s="1122">
        <f>$J$11*((((AC180)+(AE180*AD180)+(AG180*AF180))*AH180)*AB180)</f>
        <v>113.056</v>
      </c>
      <c r="AJ180" s="1144">
        <f t="shared" ref="AJ180:AJ185" si="144">((IF(Q180=$AK$7,X180,0)+(IF(Z180=$AK$7,AI180,0))))*$AK$9</f>
        <v>0</v>
      </c>
      <c r="AK180" s="1145">
        <f t="shared" ref="AK180:AK185" si="145">((IF(Q180=$AL$7,X180,0)+(IF(Z180=$AL$7,AI180,0))))*$AL$9</f>
        <v>117.82319466666667</v>
      </c>
      <c r="AL180" s="1146">
        <f t="shared" ref="AL180:AL185" si="146">((IF(Q180=$AM$7,X180,0)+(IF(Z180=$AM$7,AI180,0))))*$AM$9</f>
        <v>0</v>
      </c>
    </row>
    <row r="181" spans="1:38" ht="18.75">
      <c r="A181" s="1126"/>
      <c r="B181" s="1127"/>
      <c r="C181" s="1128"/>
      <c r="D181" s="1127"/>
      <c r="E181" s="1127" t="s">
        <v>1283</v>
      </c>
      <c r="F181" s="1129">
        <v>1.5</v>
      </c>
      <c r="G181" s="1129">
        <v>0.15</v>
      </c>
      <c r="H181" s="1129">
        <v>2.72</v>
      </c>
      <c r="I181" s="1130">
        <v>1</v>
      </c>
      <c r="J181" s="1131"/>
      <c r="K181" s="1132"/>
      <c r="L181" s="1133">
        <f>I181*(F181*G181*H181)</f>
        <v>0.61199999999999999</v>
      </c>
      <c r="M181" s="1127" t="s">
        <v>1284</v>
      </c>
      <c r="N181" s="1134"/>
      <c r="O181" s="1094"/>
      <c r="P181" s="1135" t="s">
        <v>1285</v>
      </c>
      <c r="Q181" s="1136">
        <v>8</v>
      </c>
      <c r="R181" s="1137">
        <v>0.2</v>
      </c>
      <c r="S181" s="1138">
        <f>(H180/R181+1)</f>
        <v>8.5</v>
      </c>
      <c r="T181" s="1139">
        <f>(F180+G180+0.3)-(0.03*2)</f>
        <v>0.7</v>
      </c>
      <c r="U181" s="1131">
        <v>2</v>
      </c>
      <c r="V181" s="1139">
        <f>6*Q181/1000</f>
        <v>4.8000000000000001E-2</v>
      </c>
      <c r="W181" s="1140">
        <v>8</v>
      </c>
      <c r="X181" s="1122">
        <f>I180*(((((T181)+(V181*U181))*S181)*W181))</f>
        <v>54.127999999999993</v>
      </c>
      <c r="Y181" s="1141" t="s">
        <v>1286</v>
      </c>
      <c r="Z181" s="1142">
        <v>13</v>
      </c>
      <c r="AA181" s="1137">
        <v>0.15</v>
      </c>
      <c r="AB181" s="1138">
        <f>($G$19)/AA181+1</f>
        <v>2</v>
      </c>
      <c r="AC181" s="1139">
        <f>0.71+2.72</f>
        <v>3.43</v>
      </c>
      <c r="AD181" s="1131">
        <v>2</v>
      </c>
      <c r="AE181" s="1139">
        <f>6*Z181/1000</f>
        <v>7.8E-2</v>
      </c>
      <c r="AF181" s="1131">
        <v>2</v>
      </c>
      <c r="AG181" s="1143">
        <f t="shared" si="143"/>
        <v>1.04</v>
      </c>
      <c r="AH181" s="1140">
        <v>1</v>
      </c>
      <c r="AI181" s="1122">
        <f t="shared" ref="AI181:AI182" si="147">$J$11*((((AC181)+(AE181*AD181)+(AG181*AF181))*AH181)*AB181)</f>
        <v>90.656000000000006</v>
      </c>
      <c r="AJ181" s="1144">
        <f t="shared" si="144"/>
        <v>0</v>
      </c>
      <c r="AK181" s="1145">
        <f t="shared" si="145"/>
        <v>94.478661333333335</v>
      </c>
      <c r="AL181" s="1146">
        <f t="shared" si="146"/>
        <v>0</v>
      </c>
    </row>
    <row r="182" spans="1:38" ht="18.75">
      <c r="A182" s="1126"/>
      <c r="B182" s="1127"/>
      <c r="C182" s="1128"/>
      <c r="D182" s="1127"/>
      <c r="E182" s="1127"/>
      <c r="F182" s="1129"/>
      <c r="G182" s="1129"/>
      <c r="H182" s="1129"/>
      <c r="I182" s="1130"/>
      <c r="J182" s="1131"/>
      <c r="K182" s="1132"/>
      <c r="L182" s="1133">
        <f>I182*(F182*G182*H182)</f>
        <v>0</v>
      </c>
      <c r="M182" s="1127" t="s">
        <v>1288</v>
      </c>
      <c r="N182" s="1134"/>
      <c r="O182" s="1094"/>
      <c r="P182" s="1135"/>
      <c r="Q182" s="1136"/>
      <c r="R182" s="1137"/>
      <c r="S182" s="1138"/>
      <c r="T182" s="1139"/>
      <c r="U182" s="1131"/>
      <c r="V182" s="1139"/>
      <c r="W182" s="1140"/>
      <c r="X182" s="1122"/>
      <c r="Y182" s="1141" t="s">
        <v>1289</v>
      </c>
      <c r="Z182" s="1142">
        <v>13</v>
      </c>
      <c r="AA182" s="1137">
        <v>0.15</v>
      </c>
      <c r="AB182" s="1138">
        <f>($G$19)/AA182+1</f>
        <v>2</v>
      </c>
      <c r="AC182" s="1139">
        <v>2.11</v>
      </c>
      <c r="AD182" s="1131">
        <v>2</v>
      </c>
      <c r="AE182" s="1139">
        <f>6*Z182/1000</f>
        <v>7.8E-2</v>
      </c>
      <c r="AF182" s="1131">
        <v>2</v>
      </c>
      <c r="AG182" s="1143">
        <f t="shared" si="143"/>
        <v>1.04</v>
      </c>
      <c r="AH182" s="1140">
        <v>1</v>
      </c>
      <c r="AI182" s="1122">
        <f t="shared" si="147"/>
        <v>69.536000000000001</v>
      </c>
      <c r="AJ182" s="1144">
        <f t="shared" si="144"/>
        <v>0</v>
      </c>
      <c r="AK182" s="1145">
        <f t="shared" si="145"/>
        <v>72.468101333333337</v>
      </c>
      <c r="AL182" s="1146">
        <f t="shared" si="146"/>
        <v>0</v>
      </c>
    </row>
    <row r="183" spans="1:38" ht="18.75">
      <c r="A183" s="1126"/>
      <c r="B183" s="1127"/>
      <c r="C183" s="1128"/>
      <c r="D183" s="1127"/>
      <c r="E183" s="1127"/>
      <c r="F183" s="1129"/>
      <c r="G183" s="1129"/>
      <c r="H183" s="1129"/>
      <c r="I183" s="1130"/>
      <c r="J183" s="1131"/>
      <c r="K183" s="1132"/>
      <c r="L183" s="1133"/>
      <c r="M183" s="1127" t="s">
        <v>1290</v>
      </c>
      <c r="N183" s="1134"/>
      <c r="O183" s="1094"/>
      <c r="P183" s="1135"/>
      <c r="Q183" s="1136"/>
      <c r="R183" s="1137"/>
      <c r="S183" s="1138"/>
      <c r="T183" s="1139"/>
      <c r="U183" s="1131"/>
      <c r="V183" s="1139"/>
      <c r="W183" s="1140"/>
      <c r="X183" s="1145"/>
      <c r="Y183" s="1184" t="s">
        <v>1294</v>
      </c>
      <c r="Z183" s="1137">
        <v>13</v>
      </c>
      <c r="AA183" s="1137">
        <v>0.15</v>
      </c>
      <c r="AB183" s="1138">
        <f>($G$19)/AA183+1</f>
        <v>2</v>
      </c>
      <c r="AC183" s="1139">
        <v>0.71</v>
      </c>
      <c r="AD183" s="1131">
        <v>2</v>
      </c>
      <c r="AE183" s="1139">
        <f t="shared" ref="AE183:AE184" si="148">6*Z183/1000</f>
        <v>7.8E-2</v>
      </c>
      <c r="AF183" s="1131">
        <v>2</v>
      </c>
      <c r="AG183" s="1143">
        <f t="shared" si="143"/>
        <v>1.04</v>
      </c>
      <c r="AH183" s="1140">
        <v>2</v>
      </c>
      <c r="AI183" s="1122">
        <f>$J$11*((((AC183)+(AE183*AD183)+(AG183*AF183))*AH183)*AB183)</f>
        <v>94.272000000000006</v>
      </c>
      <c r="AJ183" s="1144">
        <f t="shared" si="144"/>
        <v>0</v>
      </c>
      <c r="AK183" s="1145">
        <f t="shared" si="145"/>
        <v>98.247136000000012</v>
      </c>
      <c r="AL183" s="1146">
        <f t="shared" si="146"/>
        <v>0</v>
      </c>
    </row>
    <row r="184" spans="1:38" ht="18.75">
      <c r="A184" s="1126"/>
      <c r="B184" s="1127"/>
      <c r="C184" s="1128"/>
      <c r="D184" s="1127"/>
      <c r="E184" s="1127"/>
      <c r="F184" s="1129"/>
      <c r="G184" s="1129"/>
      <c r="H184" s="1129"/>
      <c r="I184" s="1130"/>
      <c r="J184" s="1131"/>
      <c r="K184" s="1132"/>
      <c r="L184" s="1133"/>
      <c r="M184" s="1127" t="s">
        <v>1292</v>
      </c>
      <c r="N184" s="1134">
        <f>I181*(F181*H181)</f>
        <v>4.08</v>
      </c>
      <c r="O184" s="1094"/>
      <c r="P184" s="1135"/>
      <c r="Q184" s="1136"/>
      <c r="R184" s="1137"/>
      <c r="S184" s="1138"/>
      <c r="T184" s="1139"/>
      <c r="U184" s="1131"/>
      <c r="V184" s="1139"/>
      <c r="W184" s="1140"/>
      <c r="X184" s="1122"/>
      <c r="Y184" s="1141" t="s">
        <v>1291</v>
      </c>
      <c r="Z184" s="1142">
        <v>8</v>
      </c>
      <c r="AA184" s="1137">
        <v>0.15</v>
      </c>
      <c r="AB184" s="1138">
        <f>(H181)/AA184+1</f>
        <v>19.133333333333336</v>
      </c>
      <c r="AC184" s="1139">
        <f>(F181+0.3)-0.06</f>
        <v>1.74</v>
      </c>
      <c r="AD184" s="1131">
        <v>2</v>
      </c>
      <c r="AE184" s="1139">
        <f t="shared" si="148"/>
        <v>4.8000000000000001E-2</v>
      </c>
      <c r="AF184" s="1131">
        <v>0</v>
      </c>
      <c r="AG184" s="1143">
        <f t="shared" si="143"/>
        <v>0</v>
      </c>
      <c r="AH184" s="1140">
        <v>2</v>
      </c>
      <c r="AI184" s="1122">
        <f>$J$11*((((AC184)+(AE184*AD184)+(AG184*AF184))*AH184)*AB184)</f>
        <v>562.06080000000009</v>
      </c>
      <c r="AJ184" s="1144">
        <f t="shared" si="144"/>
        <v>0</v>
      </c>
      <c r="AK184" s="1145">
        <f t="shared" si="145"/>
        <v>0</v>
      </c>
      <c r="AL184" s="1146">
        <f t="shared" si="146"/>
        <v>0</v>
      </c>
    </row>
    <row r="185" spans="1:38" ht="19.5" thickBot="1">
      <c r="A185" s="1126"/>
      <c r="B185" s="1127"/>
      <c r="C185" s="1128"/>
      <c r="D185" s="1127"/>
      <c r="E185" s="1127"/>
      <c r="F185" s="1129"/>
      <c r="G185" s="1129"/>
      <c r="H185" s="1129"/>
      <c r="I185" s="1130"/>
      <c r="J185" s="1131"/>
      <c r="K185" s="1132"/>
      <c r="L185" s="1133"/>
      <c r="M185" s="1127"/>
      <c r="N185" s="1134"/>
      <c r="O185" s="1094"/>
      <c r="P185" s="1135"/>
      <c r="Q185" s="1136"/>
      <c r="R185" s="1137"/>
      <c r="S185" s="1138"/>
      <c r="T185" s="1139"/>
      <c r="U185" s="1131"/>
      <c r="V185" s="1139"/>
      <c r="W185" s="1140"/>
      <c r="X185" s="1122"/>
      <c r="Y185" s="1141"/>
      <c r="Z185" s="1142"/>
      <c r="AA185" s="1137"/>
      <c r="AB185" s="1138"/>
      <c r="AC185" s="1139"/>
      <c r="AD185" s="1131"/>
      <c r="AE185" s="1139"/>
      <c r="AF185" s="1131"/>
      <c r="AG185" s="1139"/>
      <c r="AH185" s="1140"/>
      <c r="AI185" s="1122"/>
      <c r="AJ185" s="1144">
        <f t="shared" si="144"/>
        <v>0</v>
      </c>
      <c r="AK185" s="1145">
        <f t="shared" si="145"/>
        <v>0</v>
      </c>
      <c r="AL185" s="1146">
        <f t="shared" si="146"/>
        <v>0</v>
      </c>
    </row>
    <row r="186" spans="1:38" ht="20.25" thickTop="1" thickBot="1">
      <c r="A186" s="1188"/>
      <c r="B186" s="1189"/>
      <c r="C186" s="1190"/>
      <c r="D186" s="1189"/>
      <c r="E186" s="1191" t="s">
        <v>468</v>
      </c>
      <c r="F186" s="1192"/>
      <c r="G186" s="1192"/>
      <c r="H186" s="1192"/>
      <c r="I186" s="1192"/>
      <c r="J186" s="1192"/>
      <c r="K186" s="1193"/>
      <c r="L186" s="1194">
        <f>SUM(L165:L185)</f>
        <v>3.5158499999999995</v>
      </c>
      <c r="M186" s="1189"/>
      <c r="N186" s="1194">
        <f>SUM(N165:N185)</f>
        <v>23.439</v>
      </c>
      <c r="O186" s="1195"/>
      <c r="P186" s="1196"/>
      <c r="Q186" s="1188"/>
      <c r="R186" s="1197"/>
      <c r="S186" s="1198"/>
      <c r="T186" s="1199"/>
      <c r="U186" s="1200"/>
      <c r="V186" s="1199"/>
      <c r="W186" s="1201"/>
      <c r="X186" s="1202"/>
      <c r="Y186" s="1203"/>
      <c r="Z186" s="1204"/>
      <c r="AA186" s="1197"/>
      <c r="AB186" s="1198"/>
      <c r="AC186" s="1199"/>
      <c r="AD186" s="1200"/>
      <c r="AE186" s="1199"/>
      <c r="AF186" s="1200"/>
      <c r="AG186" s="1199"/>
      <c r="AH186" s="1201"/>
      <c r="AI186" s="1202"/>
      <c r="AJ186" s="1205">
        <f>SUM(AJ165:AJ185)</f>
        <v>0</v>
      </c>
      <c r="AK186" s="1205">
        <f t="shared" ref="AK186:AL186" si="149">SUM(AK165:AK185)</f>
        <v>1195.4068533333334</v>
      </c>
      <c r="AL186" s="1206">
        <f t="shared" si="149"/>
        <v>0</v>
      </c>
    </row>
    <row r="187" spans="1:38" ht="19.5" thickTop="1">
      <c r="A187" s="1136"/>
      <c r="B187" s="1148"/>
      <c r="C187" s="1128"/>
      <c r="D187" s="1127"/>
      <c r="E187" s="1127"/>
      <c r="F187" s="1129"/>
      <c r="G187" s="1129"/>
      <c r="H187" s="1129"/>
      <c r="I187" s="1181"/>
      <c r="J187" s="1131"/>
      <c r="K187" s="1132"/>
      <c r="L187" s="1133"/>
      <c r="M187" s="1127"/>
      <c r="N187" s="1134"/>
      <c r="O187" s="1094"/>
      <c r="P187" s="1182"/>
      <c r="Q187" s="1136"/>
      <c r="R187" s="1137"/>
      <c r="S187" s="1138"/>
      <c r="T187" s="1139"/>
      <c r="U187" s="1131"/>
      <c r="V187" s="1139"/>
      <c r="W187" s="1140"/>
      <c r="X187" s="1122"/>
      <c r="Y187" s="1183"/>
      <c r="Z187" s="1142"/>
      <c r="AA187" s="1137"/>
      <c r="AB187" s="1138"/>
      <c r="AC187" s="1139"/>
      <c r="AD187" s="1131"/>
      <c r="AE187" s="1139"/>
      <c r="AF187" s="1131"/>
      <c r="AG187" s="1139"/>
      <c r="AH187" s="1140"/>
      <c r="AI187" s="1122"/>
      <c r="AJ187" s="1144"/>
      <c r="AK187" s="1145"/>
      <c r="AL187" s="1207"/>
    </row>
    <row r="188" spans="1:38" ht="18.75">
      <c r="A188" s="1136"/>
      <c r="B188" s="1166" t="s">
        <v>1277</v>
      </c>
      <c r="C188" s="1128" t="s">
        <v>1296</v>
      </c>
      <c r="D188" s="1127">
        <v>1</v>
      </c>
      <c r="E188" s="1127" t="s">
        <v>1279</v>
      </c>
      <c r="F188" s="1129">
        <v>0.3</v>
      </c>
      <c r="G188" s="1129">
        <v>0.16</v>
      </c>
      <c r="H188" s="1129">
        <v>1.5</v>
      </c>
      <c r="I188" s="1181">
        <v>1</v>
      </c>
      <c r="J188" s="1131">
        <v>8</v>
      </c>
      <c r="K188" s="1132"/>
      <c r="L188" s="1133">
        <f>I188*(((F188*G188*H188)/2)*J188)</f>
        <v>0.28800000000000003</v>
      </c>
      <c r="M188" s="1127" t="s">
        <v>1280</v>
      </c>
      <c r="N188" s="1134">
        <f>I188*(G188*H188*J188)</f>
        <v>1.92</v>
      </c>
      <c r="O188" s="1094"/>
      <c r="P188" s="1182" t="s">
        <v>1281</v>
      </c>
      <c r="Q188" s="1136">
        <v>8</v>
      </c>
      <c r="R188" s="1137"/>
      <c r="S188" s="1138">
        <v>1</v>
      </c>
      <c r="T188" s="1139">
        <f>(H188+0.4)-0.06</f>
        <v>1.8399999999999999</v>
      </c>
      <c r="U188" s="1131">
        <v>2</v>
      </c>
      <c r="V188" s="1139">
        <f>6*Q188/1000</f>
        <v>4.8000000000000001E-2</v>
      </c>
      <c r="W188" s="1140">
        <v>8</v>
      </c>
      <c r="X188" s="1122">
        <f>I188*((((T188)+(V188*U188)*S188)*W188))</f>
        <v>15.488</v>
      </c>
      <c r="Y188" s="1183" t="s">
        <v>1282</v>
      </c>
      <c r="Z188" s="1142">
        <v>13</v>
      </c>
      <c r="AA188" s="1137">
        <v>0.15</v>
      </c>
      <c r="AB188" s="1138">
        <f>($G$19)/AA188+1</f>
        <v>2</v>
      </c>
      <c r="AC188" s="1139">
        <v>3.77</v>
      </c>
      <c r="AD188" s="1131">
        <v>2</v>
      </c>
      <c r="AE188" s="1139">
        <f>6*Z188/1000</f>
        <v>7.8E-2</v>
      </c>
      <c r="AF188" s="1131">
        <v>2</v>
      </c>
      <c r="AG188" s="1143">
        <f t="shared" ref="AG188:AG192" si="150">(40*Z188/1000)*AF188</f>
        <v>1.04</v>
      </c>
      <c r="AH188" s="1140">
        <v>1</v>
      </c>
      <c r="AI188" s="1122">
        <f>$J$11*((((AC188)+(AE188*AD188)+(AG188*AF188))*AH188)*AB188)</f>
        <v>96.096000000000004</v>
      </c>
      <c r="AJ188" s="1144">
        <f t="shared" ref="AJ188:AJ193" si="151">((IF(Q188=$AK$7,X188,0)+(IF(Z188=$AK$7,AI188,0))))*$AK$9</f>
        <v>0</v>
      </c>
      <c r="AK188" s="1145">
        <f t="shared" ref="AK188:AK193" si="152">((IF(Q188=$AL$7,X188,0)+(IF(Z188=$AL$7,AI188,0))))*$AL$9</f>
        <v>100.148048</v>
      </c>
      <c r="AL188" s="1146">
        <f t="shared" ref="AL188:AL193" si="153">((IF(Q188=$AM$7,X188,0)+(IF(Z188=$AM$7,AI188,0))))*$AM$9</f>
        <v>0</v>
      </c>
    </row>
    <row r="189" spans="1:38" ht="18.75">
      <c r="A189" s="1126"/>
      <c r="B189" s="1127"/>
      <c r="C189" s="1128"/>
      <c r="D189" s="1127"/>
      <c r="E189" s="1127" t="s">
        <v>1283</v>
      </c>
      <c r="F189" s="1129">
        <v>1.5</v>
      </c>
      <c r="G189" s="1129">
        <v>0.15</v>
      </c>
      <c r="H189" s="1129">
        <v>2.4</v>
      </c>
      <c r="I189" s="1130">
        <v>1</v>
      </c>
      <c r="J189" s="1131"/>
      <c r="K189" s="1132"/>
      <c r="L189" s="1133">
        <f>I189*(F189*G189*H189)</f>
        <v>0.53999999999999992</v>
      </c>
      <c r="M189" s="1127" t="s">
        <v>1284</v>
      </c>
      <c r="N189" s="1134"/>
      <c r="O189" s="1094"/>
      <c r="P189" s="1135" t="s">
        <v>1285</v>
      </c>
      <c r="Q189" s="1136">
        <v>8</v>
      </c>
      <c r="R189" s="1137">
        <v>0.2</v>
      </c>
      <c r="S189" s="1138">
        <f>(H188/R189+1)</f>
        <v>8.5</v>
      </c>
      <c r="T189" s="1139">
        <f>(F188+G188+0.3)-(0.03*2)</f>
        <v>0.7</v>
      </c>
      <c r="U189" s="1131">
        <v>2</v>
      </c>
      <c r="V189" s="1139">
        <f>6*Q189/1000</f>
        <v>4.8000000000000001E-2</v>
      </c>
      <c r="W189" s="1140">
        <v>8</v>
      </c>
      <c r="X189" s="1122">
        <f>I188*(((((T189)+(V189*U189))*S189)*W189))</f>
        <v>54.127999999999993</v>
      </c>
      <c r="Y189" s="1141" t="s">
        <v>1286</v>
      </c>
      <c r="Z189" s="1142">
        <v>13</v>
      </c>
      <c r="AA189" s="1137">
        <v>0.15</v>
      </c>
      <c r="AB189" s="1138">
        <f>($G$19)/AA189+1</f>
        <v>2</v>
      </c>
      <c r="AC189" s="1139">
        <v>4.12</v>
      </c>
      <c r="AD189" s="1131">
        <v>2</v>
      </c>
      <c r="AE189" s="1139">
        <f>6*Z189/1000</f>
        <v>7.8E-2</v>
      </c>
      <c r="AF189" s="1131">
        <v>2</v>
      </c>
      <c r="AG189" s="1143">
        <f t="shared" si="150"/>
        <v>1.04</v>
      </c>
      <c r="AH189" s="1140">
        <v>1</v>
      </c>
      <c r="AI189" s="1122">
        <f t="shared" ref="AI189:AI190" si="154">$J$11*((((AC189)+(AE189*AD189)+(AG189*AF189))*AH189)*AB189)</f>
        <v>101.696</v>
      </c>
      <c r="AJ189" s="1144">
        <f t="shared" si="151"/>
        <v>0</v>
      </c>
      <c r="AK189" s="1145">
        <f t="shared" si="152"/>
        <v>105.98418133333334</v>
      </c>
      <c r="AL189" s="1146">
        <f t="shared" si="153"/>
        <v>0</v>
      </c>
    </row>
    <row r="190" spans="1:38" ht="18.75">
      <c r="A190" s="1126"/>
      <c r="B190" s="1127"/>
      <c r="C190" s="1128"/>
      <c r="D190" s="1127"/>
      <c r="E190" s="1127" t="s">
        <v>1287</v>
      </c>
      <c r="F190" s="1129">
        <v>1.5</v>
      </c>
      <c r="G190" s="1129">
        <v>0.15</v>
      </c>
      <c r="H190" s="1129">
        <v>1.536</v>
      </c>
      <c r="I190" s="1130">
        <v>1</v>
      </c>
      <c r="J190" s="1131"/>
      <c r="K190" s="1132"/>
      <c r="L190" s="1133">
        <f>I190*(F190*G190*H190)</f>
        <v>0.34559999999999996</v>
      </c>
      <c r="M190" s="1127" t="s">
        <v>1288</v>
      </c>
      <c r="N190" s="1134"/>
      <c r="O190" s="1094"/>
      <c r="P190" s="1135"/>
      <c r="Q190" s="1136"/>
      <c r="R190" s="1137"/>
      <c r="S190" s="1138"/>
      <c r="T190" s="1139"/>
      <c r="U190" s="1131"/>
      <c r="V190" s="1139"/>
      <c r="W190" s="1140"/>
      <c r="X190" s="1122"/>
      <c r="Y190" s="1141" t="s">
        <v>1289</v>
      </c>
      <c r="Z190" s="1142">
        <v>13</v>
      </c>
      <c r="AA190" s="1137">
        <v>0.15</v>
      </c>
      <c r="AB190" s="1138">
        <f>($G$19)/AA190+1</f>
        <v>2</v>
      </c>
      <c r="AC190" s="1139">
        <v>1.37</v>
      </c>
      <c r="AD190" s="1131">
        <v>2</v>
      </c>
      <c r="AE190" s="1139">
        <f>6*Z190/1000</f>
        <v>7.8E-2</v>
      </c>
      <c r="AF190" s="1131">
        <v>2</v>
      </c>
      <c r="AG190" s="1143">
        <f t="shared" si="150"/>
        <v>1.04</v>
      </c>
      <c r="AH190" s="1140">
        <v>1</v>
      </c>
      <c r="AI190" s="1122">
        <f t="shared" si="154"/>
        <v>57.695999999999998</v>
      </c>
      <c r="AJ190" s="1144">
        <f t="shared" si="151"/>
        <v>0</v>
      </c>
      <c r="AK190" s="1145">
        <f t="shared" si="152"/>
        <v>60.128847999999998</v>
      </c>
      <c r="AL190" s="1146">
        <f t="shared" si="153"/>
        <v>0</v>
      </c>
    </row>
    <row r="191" spans="1:38" ht="18.75">
      <c r="A191" s="1126"/>
      <c r="B191" s="1127"/>
      <c r="C191" s="1128"/>
      <c r="D191" s="1127"/>
      <c r="E191" s="1127"/>
      <c r="F191" s="1129"/>
      <c r="G191" s="1129"/>
      <c r="H191" s="1129"/>
      <c r="I191" s="1130"/>
      <c r="J191" s="1131"/>
      <c r="K191" s="1132"/>
      <c r="L191" s="1133"/>
      <c r="M191" s="1127" t="s">
        <v>1290</v>
      </c>
      <c r="N191" s="1134"/>
      <c r="O191" s="1094"/>
      <c r="P191" s="1135"/>
      <c r="Q191" s="1136"/>
      <c r="R191" s="1137"/>
      <c r="S191" s="1138"/>
      <c r="T191" s="1139"/>
      <c r="U191" s="1131"/>
      <c r="V191" s="1139"/>
      <c r="W191" s="1140"/>
      <c r="X191" s="1145"/>
      <c r="Y191" s="1184" t="s">
        <v>1294</v>
      </c>
      <c r="Z191" s="1137">
        <v>13</v>
      </c>
      <c r="AA191" s="1137">
        <v>0.15</v>
      </c>
      <c r="AB191" s="1138">
        <f>($G$19)/AA191+1</f>
        <v>2</v>
      </c>
      <c r="AC191" s="1139">
        <v>1.74</v>
      </c>
      <c r="AD191" s="1131">
        <v>2</v>
      </c>
      <c r="AE191" s="1139">
        <f t="shared" ref="AE191:AE192" si="155">6*Z191/1000</f>
        <v>7.8E-2</v>
      </c>
      <c r="AF191" s="1131">
        <v>2</v>
      </c>
      <c r="AG191" s="1143">
        <f t="shared" si="150"/>
        <v>1.04</v>
      </c>
      <c r="AH191" s="1140">
        <v>2</v>
      </c>
      <c r="AI191" s="1122">
        <f>$J$11*((((AC191)+(AE191*AD191)+(AG191*AF191))*AH191)*AB191)</f>
        <v>127.232</v>
      </c>
      <c r="AJ191" s="1144">
        <f t="shared" si="151"/>
        <v>0</v>
      </c>
      <c r="AK191" s="1145">
        <f t="shared" si="152"/>
        <v>132.59694933333333</v>
      </c>
      <c r="AL191" s="1146">
        <f t="shared" si="153"/>
        <v>0</v>
      </c>
    </row>
    <row r="192" spans="1:38" ht="18.75">
      <c r="A192" s="1126"/>
      <c r="B192" s="1127"/>
      <c r="C192" s="1128"/>
      <c r="D192" s="1127"/>
      <c r="E192" s="1127"/>
      <c r="F192" s="1129"/>
      <c r="G192" s="1129"/>
      <c r="H192" s="1129"/>
      <c r="I192" s="1130"/>
      <c r="J192" s="1131"/>
      <c r="K192" s="1132"/>
      <c r="L192" s="1133"/>
      <c r="M192" s="1127" t="s">
        <v>1292</v>
      </c>
      <c r="N192" s="1134">
        <f>I189*(F189*H189)</f>
        <v>3.5999999999999996</v>
      </c>
      <c r="O192" s="1094"/>
      <c r="P192" s="1135"/>
      <c r="Q192" s="1136"/>
      <c r="R192" s="1137"/>
      <c r="S192" s="1138"/>
      <c r="T192" s="1139"/>
      <c r="U192" s="1131"/>
      <c r="V192" s="1139"/>
      <c r="W192" s="1140"/>
      <c r="X192" s="1122"/>
      <c r="Y192" s="1141" t="s">
        <v>1291</v>
      </c>
      <c r="Z192" s="1142">
        <v>8</v>
      </c>
      <c r="AA192" s="1137">
        <v>0.15</v>
      </c>
      <c r="AB192" s="1138">
        <f>(H189)/AA192+1</f>
        <v>17</v>
      </c>
      <c r="AC192" s="1139">
        <f>(F189+0.3)-0.06</f>
        <v>1.74</v>
      </c>
      <c r="AD192" s="1131">
        <v>2</v>
      </c>
      <c r="AE192" s="1139">
        <f t="shared" si="155"/>
        <v>4.8000000000000001E-2</v>
      </c>
      <c r="AF192" s="1131">
        <v>0</v>
      </c>
      <c r="AG192" s="1143">
        <f t="shared" si="150"/>
        <v>0</v>
      </c>
      <c r="AH192" s="1140">
        <v>2</v>
      </c>
      <c r="AI192" s="1122">
        <f>$J$11*((((AC192)+(AE192*AD192)+(AG192*AF192))*AH192)*AB192)</f>
        <v>499.392</v>
      </c>
      <c r="AJ192" s="1144">
        <f t="shared" si="151"/>
        <v>0</v>
      </c>
      <c r="AK192" s="1145">
        <f t="shared" si="152"/>
        <v>0</v>
      </c>
      <c r="AL192" s="1146">
        <f t="shared" si="153"/>
        <v>0</v>
      </c>
    </row>
    <row r="193" spans="1:38" ht="18.75">
      <c r="A193" s="1126"/>
      <c r="B193" s="1127"/>
      <c r="C193" s="1128"/>
      <c r="D193" s="1127"/>
      <c r="E193" s="1127"/>
      <c r="F193" s="1129"/>
      <c r="G193" s="1129"/>
      <c r="H193" s="1129"/>
      <c r="I193" s="1130"/>
      <c r="J193" s="1131"/>
      <c r="K193" s="1132"/>
      <c r="L193" s="1133"/>
      <c r="M193" s="1127" t="s">
        <v>1293</v>
      </c>
      <c r="N193" s="1134">
        <f>I190*(F190*H190)</f>
        <v>2.3040000000000003</v>
      </c>
      <c r="O193" s="1094"/>
      <c r="P193" s="1135"/>
      <c r="Q193" s="1136"/>
      <c r="R193" s="1137"/>
      <c r="S193" s="1138"/>
      <c r="T193" s="1139"/>
      <c r="U193" s="1131"/>
      <c r="V193" s="1139"/>
      <c r="W193" s="1140"/>
      <c r="X193" s="1122"/>
      <c r="Y193" s="1141"/>
      <c r="Z193" s="1142"/>
      <c r="AA193" s="1137"/>
      <c r="AB193" s="1138"/>
      <c r="AC193" s="1139"/>
      <c r="AD193" s="1131"/>
      <c r="AE193" s="1139"/>
      <c r="AF193" s="1131"/>
      <c r="AG193" s="1139"/>
      <c r="AH193" s="1140"/>
      <c r="AI193" s="1122"/>
      <c r="AJ193" s="1144">
        <f t="shared" si="151"/>
        <v>0</v>
      </c>
      <c r="AK193" s="1145">
        <f t="shared" si="152"/>
        <v>0</v>
      </c>
      <c r="AL193" s="1146">
        <f t="shared" si="153"/>
        <v>0</v>
      </c>
    </row>
    <row r="194" spans="1:38" ht="18.75">
      <c r="A194" s="1126"/>
      <c r="B194" s="1127"/>
      <c r="C194" s="1128"/>
      <c r="D194" s="1127"/>
      <c r="E194" s="1127"/>
      <c r="F194" s="1168"/>
      <c r="G194" s="1168"/>
      <c r="H194" s="1168"/>
      <c r="I194" s="1130"/>
      <c r="J194" s="1169"/>
      <c r="K194" s="1132"/>
      <c r="L194" s="1133"/>
      <c r="M194" s="1127"/>
      <c r="N194" s="1134"/>
      <c r="O194" s="1094"/>
      <c r="P194" s="1135"/>
      <c r="Q194" s="1136"/>
      <c r="R194" s="1137"/>
      <c r="S194" s="1138"/>
      <c r="T194" s="1139"/>
      <c r="U194" s="1131"/>
      <c r="V194" s="1139"/>
      <c r="W194" s="1140"/>
      <c r="X194" s="1122"/>
      <c r="Y194" s="1141"/>
      <c r="Z194" s="1142"/>
      <c r="AA194" s="1137"/>
      <c r="AB194" s="1138"/>
      <c r="AC194" s="1139"/>
      <c r="AD194" s="1131"/>
      <c r="AE194" s="1139"/>
      <c r="AF194" s="1131"/>
      <c r="AG194" s="1139"/>
      <c r="AH194" s="1140"/>
      <c r="AI194" s="1122"/>
      <c r="AJ194" s="1144"/>
      <c r="AK194" s="1145"/>
      <c r="AL194" s="1146"/>
    </row>
    <row r="195" spans="1:38" ht="18.75">
      <c r="A195" s="1136"/>
      <c r="B195" s="1166"/>
      <c r="C195" s="1128"/>
      <c r="D195" s="1127">
        <v>2</v>
      </c>
      <c r="E195" s="1127" t="s">
        <v>1279</v>
      </c>
      <c r="F195" s="1129">
        <v>0.3</v>
      </c>
      <c r="G195" s="1129">
        <v>0.16</v>
      </c>
      <c r="H195" s="1129">
        <v>1.5</v>
      </c>
      <c r="I195" s="1181">
        <v>1</v>
      </c>
      <c r="J195" s="1131">
        <v>9</v>
      </c>
      <c r="K195" s="1132"/>
      <c r="L195" s="1133">
        <f>I195*(((F195*G195*H195)/2)*J195)</f>
        <v>0.32400000000000007</v>
      </c>
      <c r="M195" s="1127" t="s">
        <v>1280</v>
      </c>
      <c r="N195" s="1134">
        <f>I195*(G195*H195*J195)</f>
        <v>2.16</v>
      </c>
      <c r="O195" s="1094"/>
      <c r="P195" s="1182" t="s">
        <v>1281</v>
      </c>
      <c r="Q195" s="1136">
        <v>8</v>
      </c>
      <c r="R195" s="1137"/>
      <c r="S195" s="1138">
        <v>1</v>
      </c>
      <c r="T195" s="1139">
        <f>(H195+0.4)-0.06</f>
        <v>1.8399999999999999</v>
      </c>
      <c r="U195" s="1131">
        <v>2</v>
      </c>
      <c r="V195" s="1139">
        <f>6*Q195/1000</f>
        <v>4.8000000000000001E-2</v>
      </c>
      <c r="W195" s="1140">
        <v>9</v>
      </c>
      <c r="X195" s="1122">
        <f>I195*((((T195)+(V195*U195)*S195)*W195))</f>
        <v>17.423999999999999</v>
      </c>
      <c r="Y195" s="1183" t="s">
        <v>1282</v>
      </c>
      <c r="Z195" s="1142">
        <v>13</v>
      </c>
      <c r="AA195" s="1137">
        <v>0.15</v>
      </c>
      <c r="AB195" s="1138">
        <f>($G$19)/AA195+1</f>
        <v>2</v>
      </c>
      <c r="AC195" s="1139">
        <f>1.5+3.06</f>
        <v>4.5600000000000005</v>
      </c>
      <c r="AD195" s="1131">
        <v>2</v>
      </c>
      <c r="AE195" s="1139">
        <f>6*Z195/1000</f>
        <v>7.8E-2</v>
      </c>
      <c r="AF195" s="1131">
        <v>2</v>
      </c>
      <c r="AG195" s="1143">
        <f t="shared" ref="AG195:AG199" si="156">(40*Z195/1000)*AF195</f>
        <v>1.04</v>
      </c>
      <c r="AH195" s="1140">
        <v>1</v>
      </c>
      <c r="AI195" s="1122">
        <f>$J$11*((((AC195)+(AE195*AD195)+(AG195*AF195))*AH195)*AB195)</f>
        <v>108.736</v>
      </c>
      <c r="AJ195" s="1144">
        <f t="shared" ref="AJ195:AJ200" si="157">((IF(Q195=$AK$7,X195,0)+(IF(Z195=$AK$7,AI195,0))))*$AK$9</f>
        <v>0</v>
      </c>
      <c r="AK195" s="1145">
        <f t="shared" ref="AK195:AK200" si="158">((IF(Q195=$AL$7,X195,0)+(IF(Z195=$AL$7,AI195,0))))*$AL$9</f>
        <v>113.32103466666668</v>
      </c>
      <c r="AL195" s="1146">
        <f t="shared" ref="AL195:AL200" si="159">((IF(Q195=$AM$7,X195,0)+(IF(Z195=$AM$7,AI195,0))))*$AM$9</f>
        <v>0</v>
      </c>
    </row>
    <row r="196" spans="1:38" ht="18.75">
      <c r="A196" s="1126"/>
      <c r="B196" s="1127"/>
      <c r="C196" s="1128"/>
      <c r="D196" s="1127"/>
      <c r="E196" s="1127" t="s">
        <v>1283</v>
      </c>
      <c r="F196" s="1129">
        <v>1.5</v>
      </c>
      <c r="G196" s="1129">
        <v>0.15</v>
      </c>
      <c r="H196" s="1129">
        <f>0.34*9</f>
        <v>3.06</v>
      </c>
      <c r="I196" s="1130">
        <v>1</v>
      </c>
      <c r="J196" s="1131"/>
      <c r="K196" s="1132"/>
      <c r="L196" s="1133">
        <f>I196*(F196*G196*H196)</f>
        <v>0.68849999999999989</v>
      </c>
      <c r="M196" s="1127" t="s">
        <v>1284</v>
      </c>
      <c r="N196" s="1134"/>
      <c r="O196" s="1094"/>
      <c r="P196" s="1135" t="s">
        <v>1285</v>
      </c>
      <c r="Q196" s="1136">
        <v>8</v>
      </c>
      <c r="R196" s="1137">
        <v>0.2</v>
      </c>
      <c r="S196" s="1138">
        <f>(H195/R196+1)</f>
        <v>8.5</v>
      </c>
      <c r="T196" s="1139">
        <f>(F195+G195+0.3)-(0.03*2)</f>
        <v>0.7</v>
      </c>
      <c r="U196" s="1131">
        <v>2</v>
      </c>
      <c r="V196" s="1139">
        <f>6*Q196/1000</f>
        <v>4.8000000000000001E-2</v>
      </c>
      <c r="W196" s="1140">
        <v>9</v>
      </c>
      <c r="X196" s="1122">
        <f>I195*(((((T196)+(V196*U196))*S196)*W196))</f>
        <v>60.893999999999991</v>
      </c>
      <c r="Y196" s="1141" t="s">
        <v>1286</v>
      </c>
      <c r="Z196" s="1142">
        <v>13</v>
      </c>
      <c r="AA196" s="1137">
        <v>0.15</v>
      </c>
      <c r="AB196" s="1138">
        <f>($G$19)/AA196+1</f>
        <v>2</v>
      </c>
      <c r="AC196" s="1139">
        <f>1.5+3.06</f>
        <v>4.5600000000000005</v>
      </c>
      <c r="AD196" s="1131">
        <v>2</v>
      </c>
      <c r="AE196" s="1139">
        <f>6*Z196/1000</f>
        <v>7.8E-2</v>
      </c>
      <c r="AF196" s="1131">
        <v>2</v>
      </c>
      <c r="AG196" s="1143">
        <f t="shared" si="156"/>
        <v>1.04</v>
      </c>
      <c r="AH196" s="1140">
        <v>1</v>
      </c>
      <c r="AI196" s="1122">
        <f t="shared" ref="AI196:AI197" si="160">$J$11*((((AC196)+(AE196*AD196)+(AG196*AF196))*AH196)*AB196)</f>
        <v>108.736</v>
      </c>
      <c r="AJ196" s="1144">
        <f t="shared" si="157"/>
        <v>0</v>
      </c>
      <c r="AK196" s="1145">
        <f t="shared" si="158"/>
        <v>113.32103466666668</v>
      </c>
      <c r="AL196" s="1146">
        <f t="shared" si="159"/>
        <v>0</v>
      </c>
    </row>
    <row r="197" spans="1:38" ht="18.75">
      <c r="A197" s="1126"/>
      <c r="B197" s="1127"/>
      <c r="C197" s="1128"/>
      <c r="D197" s="1127"/>
      <c r="E197" s="1127" t="s">
        <v>1287</v>
      </c>
      <c r="F197" s="1129">
        <v>1.5</v>
      </c>
      <c r="G197" s="1129">
        <v>0.15</v>
      </c>
      <c r="H197" s="1129">
        <v>1.91</v>
      </c>
      <c r="I197" s="1130">
        <v>1</v>
      </c>
      <c r="J197" s="1131"/>
      <c r="K197" s="1132"/>
      <c r="L197" s="1133">
        <f>I197*(F197*G197*H197)</f>
        <v>0.42974999999999997</v>
      </c>
      <c r="M197" s="1127" t="s">
        <v>1288</v>
      </c>
      <c r="N197" s="1134"/>
      <c r="O197" s="1094"/>
      <c r="P197" s="1135"/>
      <c r="Q197" s="1136"/>
      <c r="R197" s="1137"/>
      <c r="S197" s="1138"/>
      <c r="T197" s="1139"/>
      <c r="U197" s="1131"/>
      <c r="V197" s="1139"/>
      <c r="W197" s="1140"/>
      <c r="X197" s="1122"/>
      <c r="Y197" s="1141" t="s">
        <v>1289</v>
      </c>
      <c r="Z197" s="1142">
        <v>13</v>
      </c>
      <c r="AA197" s="1137">
        <v>0.15</v>
      </c>
      <c r="AB197" s="1138">
        <f>($G$19)/AA197+1</f>
        <v>2</v>
      </c>
      <c r="AC197" s="1139">
        <v>1.5</v>
      </c>
      <c r="AD197" s="1131">
        <v>2</v>
      </c>
      <c r="AE197" s="1139">
        <f>6*Z197/1000</f>
        <v>7.8E-2</v>
      </c>
      <c r="AF197" s="1131">
        <v>2</v>
      </c>
      <c r="AG197" s="1143">
        <f t="shared" si="156"/>
        <v>1.04</v>
      </c>
      <c r="AH197" s="1140">
        <v>1</v>
      </c>
      <c r="AI197" s="1122">
        <f t="shared" si="160"/>
        <v>59.775999999999996</v>
      </c>
      <c r="AJ197" s="1144">
        <f t="shared" si="157"/>
        <v>0</v>
      </c>
      <c r="AK197" s="1145">
        <f t="shared" si="158"/>
        <v>62.296554666666665</v>
      </c>
      <c r="AL197" s="1146">
        <f t="shared" si="159"/>
        <v>0</v>
      </c>
    </row>
    <row r="198" spans="1:38" ht="18.75">
      <c r="A198" s="1126"/>
      <c r="B198" s="1127"/>
      <c r="C198" s="1128"/>
      <c r="D198" s="1127"/>
      <c r="E198" s="1127"/>
      <c r="F198" s="1129"/>
      <c r="G198" s="1129"/>
      <c r="H198" s="1129"/>
      <c r="I198" s="1130"/>
      <c r="J198" s="1131"/>
      <c r="K198" s="1132"/>
      <c r="L198" s="1133"/>
      <c r="M198" s="1127" t="s">
        <v>1290</v>
      </c>
      <c r="N198" s="1134"/>
      <c r="O198" s="1094"/>
      <c r="P198" s="1135"/>
      <c r="Q198" s="1136"/>
      <c r="R198" s="1137"/>
      <c r="S198" s="1138"/>
      <c r="T198" s="1139"/>
      <c r="U198" s="1131"/>
      <c r="V198" s="1139"/>
      <c r="W198" s="1140"/>
      <c r="X198" s="1145"/>
      <c r="Y198" s="1184" t="s">
        <v>1294</v>
      </c>
      <c r="Z198" s="1137">
        <v>13</v>
      </c>
      <c r="AA198" s="1137">
        <v>0.15</v>
      </c>
      <c r="AB198" s="1138">
        <f>($G$19)/AA198+1</f>
        <v>2</v>
      </c>
      <c r="AC198" s="1139">
        <v>1.5</v>
      </c>
      <c r="AD198" s="1131">
        <v>2</v>
      </c>
      <c r="AE198" s="1139">
        <f t="shared" ref="AE198:AE199" si="161">6*Z198/1000</f>
        <v>7.8E-2</v>
      </c>
      <c r="AF198" s="1131">
        <v>2</v>
      </c>
      <c r="AG198" s="1143">
        <f t="shared" si="156"/>
        <v>1.04</v>
      </c>
      <c r="AH198" s="1140">
        <v>2</v>
      </c>
      <c r="AI198" s="1122">
        <f>$J$11*((((AC198)+(AE198*AD198)+(AG198*AF198))*AH198)*AB198)</f>
        <v>119.55199999999999</v>
      </c>
      <c r="AJ198" s="1144">
        <f t="shared" si="157"/>
        <v>0</v>
      </c>
      <c r="AK198" s="1145">
        <f t="shared" si="158"/>
        <v>124.59310933333333</v>
      </c>
      <c r="AL198" s="1146">
        <f t="shared" si="159"/>
        <v>0</v>
      </c>
    </row>
    <row r="199" spans="1:38" ht="18.75">
      <c r="A199" s="1126"/>
      <c r="B199" s="1127"/>
      <c r="C199" s="1128"/>
      <c r="D199" s="1127"/>
      <c r="E199" s="1127"/>
      <c r="F199" s="1129"/>
      <c r="G199" s="1129"/>
      <c r="H199" s="1129"/>
      <c r="I199" s="1130"/>
      <c r="J199" s="1131"/>
      <c r="K199" s="1132"/>
      <c r="L199" s="1133"/>
      <c r="M199" s="1127" t="s">
        <v>1292</v>
      </c>
      <c r="N199" s="1134">
        <f>I196*(F196*H196)</f>
        <v>4.59</v>
      </c>
      <c r="O199" s="1094"/>
      <c r="P199" s="1135"/>
      <c r="Q199" s="1136"/>
      <c r="R199" s="1137"/>
      <c r="S199" s="1138"/>
      <c r="T199" s="1139"/>
      <c r="U199" s="1131"/>
      <c r="V199" s="1139"/>
      <c r="W199" s="1140"/>
      <c r="X199" s="1122"/>
      <c r="Y199" s="1141" t="s">
        <v>1291</v>
      </c>
      <c r="Z199" s="1142">
        <v>8</v>
      </c>
      <c r="AA199" s="1137">
        <v>0.15</v>
      </c>
      <c r="AB199" s="1138">
        <f>(H196)/AA199+1</f>
        <v>21.400000000000002</v>
      </c>
      <c r="AC199" s="1139">
        <f>(F196+0.3)-0.06</f>
        <v>1.74</v>
      </c>
      <c r="AD199" s="1131">
        <v>2</v>
      </c>
      <c r="AE199" s="1139">
        <f t="shared" si="161"/>
        <v>4.8000000000000001E-2</v>
      </c>
      <c r="AF199" s="1131">
        <v>0</v>
      </c>
      <c r="AG199" s="1143">
        <f t="shared" si="156"/>
        <v>0</v>
      </c>
      <c r="AH199" s="1140">
        <v>2</v>
      </c>
      <c r="AI199" s="1122">
        <f>$J$11*((((AC199)+(AE199*AD199)+(AG199*AF199))*AH199)*AB199)</f>
        <v>628.64640000000009</v>
      </c>
      <c r="AJ199" s="1144">
        <f t="shared" si="157"/>
        <v>0</v>
      </c>
      <c r="AK199" s="1145">
        <f t="shared" si="158"/>
        <v>0</v>
      </c>
      <c r="AL199" s="1146">
        <f t="shared" si="159"/>
        <v>0</v>
      </c>
    </row>
    <row r="200" spans="1:38" ht="18.75">
      <c r="A200" s="1126"/>
      <c r="B200" s="1127"/>
      <c r="C200" s="1128"/>
      <c r="D200" s="1127"/>
      <c r="E200" s="1127"/>
      <c r="F200" s="1129"/>
      <c r="G200" s="1129"/>
      <c r="H200" s="1129"/>
      <c r="I200" s="1130"/>
      <c r="J200" s="1131"/>
      <c r="K200" s="1132"/>
      <c r="L200" s="1133"/>
      <c r="M200" s="1127" t="s">
        <v>1293</v>
      </c>
      <c r="N200" s="1134">
        <f>I197*(F197*H197)</f>
        <v>2.8649999999999998</v>
      </c>
      <c r="O200" s="1094"/>
      <c r="P200" s="1135"/>
      <c r="Q200" s="1136"/>
      <c r="R200" s="1137"/>
      <c r="S200" s="1138"/>
      <c r="T200" s="1139"/>
      <c r="U200" s="1131"/>
      <c r="V200" s="1139"/>
      <c r="W200" s="1140"/>
      <c r="X200" s="1122"/>
      <c r="Y200" s="1141"/>
      <c r="Z200" s="1142"/>
      <c r="AA200" s="1137"/>
      <c r="AB200" s="1138"/>
      <c r="AC200" s="1139"/>
      <c r="AD200" s="1131"/>
      <c r="AE200" s="1139"/>
      <c r="AF200" s="1131"/>
      <c r="AG200" s="1139"/>
      <c r="AH200" s="1140"/>
      <c r="AI200" s="1122"/>
      <c r="AJ200" s="1144">
        <f t="shared" si="157"/>
        <v>0</v>
      </c>
      <c r="AK200" s="1145">
        <f t="shared" si="158"/>
        <v>0</v>
      </c>
      <c r="AL200" s="1146">
        <f t="shared" si="159"/>
        <v>0</v>
      </c>
    </row>
    <row r="201" spans="1:38" ht="18.75">
      <c r="A201" s="1126"/>
      <c r="B201" s="1127"/>
      <c r="C201" s="1128"/>
      <c r="D201" s="1127"/>
      <c r="E201" s="1127"/>
      <c r="F201" s="1168"/>
      <c r="G201" s="1168"/>
      <c r="H201" s="1168"/>
      <c r="I201" s="1130"/>
      <c r="J201" s="1169"/>
      <c r="K201" s="1132"/>
      <c r="L201" s="1133"/>
      <c r="M201" s="1127"/>
      <c r="N201" s="1134"/>
      <c r="O201" s="1094"/>
      <c r="P201" s="1135"/>
      <c r="Q201" s="1136"/>
      <c r="R201" s="1137"/>
      <c r="S201" s="1138"/>
      <c r="T201" s="1139"/>
      <c r="U201" s="1131"/>
      <c r="V201" s="1139"/>
      <c r="W201" s="1140"/>
      <c r="X201" s="1122"/>
      <c r="Y201" s="1141"/>
      <c r="Z201" s="1142"/>
      <c r="AA201" s="1137"/>
      <c r="AB201" s="1138"/>
      <c r="AC201" s="1139"/>
      <c r="AD201" s="1131"/>
      <c r="AE201" s="1139"/>
      <c r="AF201" s="1131"/>
      <c r="AG201" s="1139"/>
      <c r="AH201" s="1140"/>
      <c r="AI201" s="1122"/>
      <c r="AJ201" s="1144"/>
      <c r="AK201" s="1145"/>
      <c r="AL201" s="1146"/>
    </row>
    <row r="202" spans="1:38" ht="18.75">
      <c r="A202" s="1136"/>
      <c r="B202" s="1166"/>
      <c r="C202" s="1128"/>
      <c r="D202" s="1127">
        <v>3</v>
      </c>
      <c r="E202" s="1127" t="s">
        <v>1279</v>
      </c>
      <c r="F202" s="1129">
        <v>0.3</v>
      </c>
      <c r="G202" s="1129">
        <v>0.16</v>
      </c>
      <c r="H202" s="1129">
        <v>1.5</v>
      </c>
      <c r="I202" s="1181">
        <v>1</v>
      </c>
      <c r="J202" s="1131">
        <v>8</v>
      </c>
      <c r="K202" s="1132"/>
      <c r="L202" s="1133">
        <f>I202*(((F202*G202*H202)/2)*J202)</f>
        <v>0.28800000000000003</v>
      </c>
      <c r="M202" s="1127" t="s">
        <v>1280</v>
      </c>
      <c r="N202" s="1134">
        <f>I202*(G202*H202*J202)</f>
        <v>1.92</v>
      </c>
      <c r="O202" s="1094"/>
      <c r="P202" s="1182" t="s">
        <v>1281</v>
      </c>
      <c r="Q202" s="1136">
        <v>8</v>
      </c>
      <c r="R202" s="1137"/>
      <c r="S202" s="1138">
        <v>1</v>
      </c>
      <c r="T202" s="1139">
        <f>(H202+0.4)-0.06</f>
        <v>1.8399999999999999</v>
      </c>
      <c r="U202" s="1131">
        <v>2</v>
      </c>
      <c r="V202" s="1139">
        <f>6*Q202/1000</f>
        <v>4.8000000000000001E-2</v>
      </c>
      <c r="W202" s="1140">
        <v>8</v>
      </c>
      <c r="X202" s="1122">
        <f>I202*((((T202)+(V202*U202)*S202)*W202))</f>
        <v>15.488</v>
      </c>
      <c r="Y202" s="1183" t="s">
        <v>1282</v>
      </c>
      <c r="Z202" s="1142">
        <v>13</v>
      </c>
      <c r="AA202" s="1137">
        <v>0.15</v>
      </c>
      <c r="AB202" s="1138">
        <f>($G$19)/AA202+1</f>
        <v>2</v>
      </c>
      <c r="AC202" s="1139">
        <v>4.83</v>
      </c>
      <c r="AD202" s="1131">
        <v>2</v>
      </c>
      <c r="AE202" s="1139">
        <f>6*Z202/1000</f>
        <v>7.8E-2</v>
      </c>
      <c r="AF202" s="1131">
        <v>2</v>
      </c>
      <c r="AG202" s="1143">
        <f t="shared" ref="AG202:AG206" si="162">(40*Z202/1000)*AF202</f>
        <v>1.04</v>
      </c>
      <c r="AH202" s="1140">
        <v>1</v>
      </c>
      <c r="AI202" s="1122">
        <f>$J$11*((((AC202)+(AE202*AD202)+(AG202*AF202))*AH202)*AB202)</f>
        <v>113.056</v>
      </c>
      <c r="AJ202" s="1144">
        <f t="shared" ref="AJ202:AJ207" si="163">((IF(Q202=$AK$7,X202,0)+(IF(Z202=$AK$7,AI202,0))))*$AK$9</f>
        <v>0</v>
      </c>
      <c r="AK202" s="1145">
        <f t="shared" ref="AK202:AK207" si="164">((IF(Q202=$AL$7,X202,0)+(IF(Z202=$AL$7,AI202,0))))*$AL$9</f>
        <v>117.82319466666667</v>
      </c>
      <c r="AL202" s="1146">
        <f t="shared" ref="AL202:AL207" si="165">((IF(Q202=$AM$7,X202,0)+(IF(Z202=$AM$7,AI202,0))))*$AM$9</f>
        <v>0</v>
      </c>
    </row>
    <row r="203" spans="1:38" ht="18.75">
      <c r="A203" s="1126"/>
      <c r="B203" s="1127"/>
      <c r="C203" s="1128"/>
      <c r="D203" s="1127"/>
      <c r="E203" s="1127" t="s">
        <v>1283</v>
      </c>
      <c r="F203" s="1129">
        <v>1.5</v>
      </c>
      <c r="G203" s="1129">
        <v>0.15</v>
      </c>
      <c r="H203" s="1129">
        <v>2.72</v>
      </c>
      <c r="I203" s="1130">
        <v>1</v>
      </c>
      <c r="J203" s="1131"/>
      <c r="K203" s="1132"/>
      <c r="L203" s="1133">
        <f>I203*(F203*G203*H203)</f>
        <v>0.61199999999999999</v>
      </c>
      <c r="M203" s="1127" t="s">
        <v>1284</v>
      </c>
      <c r="N203" s="1134"/>
      <c r="O203" s="1094"/>
      <c r="P203" s="1135" t="s">
        <v>1285</v>
      </c>
      <c r="Q203" s="1136">
        <v>8</v>
      </c>
      <c r="R203" s="1137">
        <v>0.2</v>
      </c>
      <c r="S203" s="1138">
        <f>(H202/R203+1)</f>
        <v>8.5</v>
      </c>
      <c r="T203" s="1139">
        <f>(F202+G202+0.3)-(0.03*2)</f>
        <v>0.7</v>
      </c>
      <c r="U203" s="1131">
        <v>2</v>
      </c>
      <c r="V203" s="1139">
        <f>6*Q203/1000</f>
        <v>4.8000000000000001E-2</v>
      </c>
      <c r="W203" s="1140">
        <v>8</v>
      </c>
      <c r="X203" s="1122">
        <f>I202*(((((T203)+(V203*U203))*S203)*W203))</f>
        <v>54.127999999999993</v>
      </c>
      <c r="Y203" s="1141" t="s">
        <v>1286</v>
      </c>
      <c r="Z203" s="1142">
        <v>13</v>
      </c>
      <c r="AA203" s="1137">
        <v>0.15</v>
      </c>
      <c r="AB203" s="1138">
        <f>($G$19)/AA203+1</f>
        <v>2</v>
      </c>
      <c r="AC203" s="1139">
        <f>0.71+2.72</f>
        <v>3.43</v>
      </c>
      <c r="AD203" s="1131">
        <v>2</v>
      </c>
      <c r="AE203" s="1139">
        <f>6*Z203/1000</f>
        <v>7.8E-2</v>
      </c>
      <c r="AF203" s="1131">
        <v>2</v>
      </c>
      <c r="AG203" s="1143">
        <f t="shared" si="162"/>
        <v>1.04</v>
      </c>
      <c r="AH203" s="1140">
        <v>1</v>
      </c>
      <c r="AI203" s="1122">
        <f t="shared" ref="AI203:AI204" si="166">$J$11*((((AC203)+(AE203*AD203)+(AG203*AF203))*AH203)*AB203)</f>
        <v>90.656000000000006</v>
      </c>
      <c r="AJ203" s="1144">
        <f t="shared" si="163"/>
        <v>0</v>
      </c>
      <c r="AK203" s="1145">
        <f t="shared" si="164"/>
        <v>94.478661333333335</v>
      </c>
      <c r="AL203" s="1146">
        <f t="shared" si="165"/>
        <v>0</v>
      </c>
    </row>
    <row r="204" spans="1:38" ht="18.75">
      <c r="A204" s="1126"/>
      <c r="B204" s="1127"/>
      <c r="C204" s="1128"/>
      <c r="D204" s="1127"/>
      <c r="E204" s="1127"/>
      <c r="F204" s="1129"/>
      <c r="G204" s="1129"/>
      <c r="H204" s="1129"/>
      <c r="I204" s="1130"/>
      <c r="J204" s="1131"/>
      <c r="K204" s="1132"/>
      <c r="L204" s="1133">
        <f>I204*(F204*G204*H204)</f>
        <v>0</v>
      </c>
      <c r="M204" s="1127" t="s">
        <v>1288</v>
      </c>
      <c r="N204" s="1134"/>
      <c r="O204" s="1094"/>
      <c r="P204" s="1135"/>
      <c r="Q204" s="1136"/>
      <c r="R204" s="1137"/>
      <c r="S204" s="1138"/>
      <c r="T204" s="1139"/>
      <c r="U204" s="1131"/>
      <c r="V204" s="1139"/>
      <c r="W204" s="1140"/>
      <c r="X204" s="1122"/>
      <c r="Y204" s="1141" t="s">
        <v>1289</v>
      </c>
      <c r="Z204" s="1142">
        <v>13</v>
      </c>
      <c r="AA204" s="1137">
        <v>0.15</v>
      </c>
      <c r="AB204" s="1138">
        <f>($G$19)/AA204+1</f>
        <v>2</v>
      </c>
      <c r="AC204" s="1139">
        <v>2.11</v>
      </c>
      <c r="AD204" s="1131">
        <v>2</v>
      </c>
      <c r="AE204" s="1139">
        <f>6*Z204/1000</f>
        <v>7.8E-2</v>
      </c>
      <c r="AF204" s="1131">
        <v>2</v>
      </c>
      <c r="AG204" s="1143">
        <f t="shared" si="162"/>
        <v>1.04</v>
      </c>
      <c r="AH204" s="1140">
        <v>1</v>
      </c>
      <c r="AI204" s="1122">
        <f t="shared" si="166"/>
        <v>69.536000000000001</v>
      </c>
      <c r="AJ204" s="1144">
        <f t="shared" si="163"/>
        <v>0</v>
      </c>
      <c r="AK204" s="1145">
        <f t="shared" si="164"/>
        <v>72.468101333333337</v>
      </c>
      <c r="AL204" s="1146">
        <f t="shared" si="165"/>
        <v>0</v>
      </c>
    </row>
    <row r="205" spans="1:38" ht="18.75">
      <c r="A205" s="1126"/>
      <c r="B205" s="1127"/>
      <c r="C205" s="1128"/>
      <c r="D205" s="1127"/>
      <c r="E205" s="1127"/>
      <c r="F205" s="1129"/>
      <c r="G205" s="1129"/>
      <c r="H205" s="1129"/>
      <c r="I205" s="1130"/>
      <c r="J205" s="1131"/>
      <c r="K205" s="1132"/>
      <c r="L205" s="1133"/>
      <c r="M205" s="1127" t="s">
        <v>1290</v>
      </c>
      <c r="N205" s="1134"/>
      <c r="O205" s="1094"/>
      <c r="P205" s="1135"/>
      <c r="Q205" s="1136"/>
      <c r="R205" s="1137"/>
      <c r="S205" s="1138"/>
      <c r="T205" s="1139"/>
      <c r="U205" s="1131"/>
      <c r="V205" s="1139"/>
      <c r="W205" s="1140"/>
      <c r="X205" s="1145"/>
      <c r="Y205" s="1184" t="s">
        <v>1294</v>
      </c>
      <c r="Z205" s="1137">
        <v>13</v>
      </c>
      <c r="AA205" s="1137">
        <v>0.15</v>
      </c>
      <c r="AB205" s="1138">
        <f>($G$19)/AA205+1</f>
        <v>2</v>
      </c>
      <c r="AC205" s="1139">
        <v>0.71</v>
      </c>
      <c r="AD205" s="1131">
        <v>2</v>
      </c>
      <c r="AE205" s="1139">
        <f t="shared" ref="AE205:AE206" si="167">6*Z205/1000</f>
        <v>7.8E-2</v>
      </c>
      <c r="AF205" s="1131">
        <v>2</v>
      </c>
      <c r="AG205" s="1143">
        <f t="shared" si="162"/>
        <v>1.04</v>
      </c>
      <c r="AH205" s="1140">
        <v>2</v>
      </c>
      <c r="AI205" s="1122">
        <f>$J$11*((((AC205)+(AE205*AD205)+(AG205*AF205))*AH205)*AB205)</f>
        <v>94.272000000000006</v>
      </c>
      <c r="AJ205" s="1144">
        <f t="shared" si="163"/>
        <v>0</v>
      </c>
      <c r="AK205" s="1145">
        <f t="shared" si="164"/>
        <v>98.247136000000012</v>
      </c>
      <c r="AL205" s="1146">
        <f t="shared" si="165"/>
        <v>0</v>
      </c>
    </row>
    <row r="206" spans="1:38" ht="18.75">
      <c r="A206" s="1126"/>
      <c r="B206" s="1127"/>
      <c r="C206" s="1128"/>
      <c r="D206" s="1127"/>
      <c r="E206" s="1127"/>
      <c r="F206" s="1129"/>
      <c r="G206" s="1129"/>
      <c r="H206" s="1129"/>
      <c r="I206" s="1130"/>
      <c r="J206" s="1131"/>
      <c r="K206" s="1132"/>
      <c r="L206" s="1133"/>
      <c r="M206" s="1127" t="s">
        <v>1292</v>
      </c>
      <c r="N206" s="1134">
        <f>I203*(F203*H203)</f>
        <v>4.08</v>
      </c>
      <c r="O206" s="1094"/>
      <c r="P206" s="1135"/>
      <c r="Q206" s="1136"/>
      <c r="R206" s="1137"/>
      <c r="S206" s="1138"/>
      <c r="T206" s="1139"/>
      <c r="U206" s="1131"/>
      <c r="V206" s="1139"/>
      <c r="W206" s="1140"/>
      <c r="X206" s="1122"/>
      <c r="Y206" s="1141" t="s">
        <v>1291</v>
      </c>
      <c r="Z206" s="1142">
        <v>8</v>
      </c>
      <c r="AA206" s="1137">
        <v>0.15</v>
      </c>
      <c r="AB206" s="1138">
        <f>(H203)/AA206+1</f>
        <v>19.133333333333336</v>
      </c>
      <c r="AC206" s="1139">
        <f>(F203+0.3)-0.06</f>
        <v>1.74</v>
      </c>
      <c r="AD206" s="1131">
        <v>2</v>
      </c>
      <c r="AE206" s="1139">
        <f t="shared" si="167"/>
        <v>4.8000000000000001E-2</v>
      </c>
      <c r="AF206" s="1131">
        <v>0</v>
      </c>
      <c r="AG206" s="1143">
        <f t="shared" si="162"/>
        <v>0</v>
      </c>
      <c r="AH206" s="1140">
        <v>2</v>
      </c>
      <c r="AI206" s="1122">
        <f>$J$11*((((AC206)+(AE206*AD206)+(AG206*AF206))*AH206)*AB206)</f>
        <v>562.06080000000009</v>
      </c>
      <c r="AJ206" s="1144">
        <f t="shared" si="163"/>
        <v>0</v>
      </c>
      <c r="AK206" s="1145">
        <f t="shared" si="164"/>
        <v>0</v>
      </c>
      <c r="AL206" s="1146">
        <f t="shared" si="165"/>
        <v>0</v>
      </c>
    </row>
    <row r="207" spans="1:38" ht="19.5" thickBot="1">
      <c r="A207" s="1126"/>
      <c r="B207" s="1127"/>
      <c r="C207" s="1128"/>
      <c r="D207" s="1127"/>
      <c r="E207" s="1127"/>
      <c r="F207" s="1129"/>
      <c r="G207" s="1129"/>
      <c r="H207" s="1129"/>
      <c r="I207" s="1130"/>
      <c r="J207" s="1131"/>
      <c r="K207" s="1132"/>
      <c r="L207" s="1133"/>
      <c r="M207" s="1127"/>
      <c r="N207" s="1134"/>
      <c r="O207" s="1094"/>
      <c r="P207" s="1135"/>
      <c r="Q207" s="1136"/>
      <c r="R207" s="1137"/>
      <c r="S207" s="1138"/>
      <c r="T207" s="1139"/>
      <c r="U207" s="1131"/>
      <c r="V207" s="1139"/>
      <c r="W207" s="1140"/>
      <c r="X207" s="1122"/>
      <c r="Y207" s="1141"/>
      <c r="Z207" s="1142"/>
      <c r="AA207" s="1137"/>
      <c r="AB207" s="1138"/>
      <c r="AC207" s="1139"/>
      <c r="AD207" s="1131"/>
      <c r="AE207" s="1139"/>
      <c r="AF207" s="1131"/>
      <c r="AG207" s="1139"/>
      <c r="AH207" s="1140"/>
      <c r="AI207" s="1122"/>
      <c r="AJ207" s="1144">
        <f t="shared" si="163"/>
        <v>0</v>
      </c>
      <c r="AK207" s="1145">
        <f t="shared" si="164"/>
        <v>0</v>
      </c>
      <c r="AL207" s="1146">
        <f t="shared" si="165"/>
        <v>0</v>
      </c>
    </row>
    <row r="208" spans="1:38" ht="20.25" thickTop="1" thickBot="1">
      <c r="A208" s="1188"/>
      <c r="B208" s="1189"/>
      <c r="C208" s="1190"/>
      <c r="D208" s="1189"/>
      <c r="E208" s="1191" t="s">
        <v>468</v>
      </c>
      <c r="F208" s="1192"/>
      <c r="G208" s="1192"/>
      <c r="H208" s="1192"/>
      <c r="I208" s="1192"/>
      <c r="J208" s="1192"/>
      <c r="K208" s="1193"/>
      <c r="L208" s="1194">
        <f>SUM(L187:L207)</f>
        <v>3.5158499999999995</v>
      </c>
      <c r="M208" s="1189"/>
      <c r="N208" s="1194">
        <f>SUM(N187:N207)</f>
        <v>23.439</v>
      </c>
      <c r="O208" s="1195"/>
      <c r="P208" s="1196"/>
      <c r="Q208" s="1188"/>
      <c r="R208" s="1197"/>
      <c r="S208" s="1198"/>
      <c r="T208" s="1199"/>
      <c r="U208" s="1200"/>
      <c r="V208" s="1199"/>
      <c r="W208" s="1201"/>
      <c r="X208" s="1202"/>
      <c r="Y208" s="1203"/>
      <c r="Z208" s="1204"/>
      <c r="AA208" s="1197"/>
      <c r="AB208" s="1198"/>
      <c r="AC208" s="1199"/>
      <c r="AD208" s="1200"/>
      <c r="AE208" s="1199"/>
      <c r="AF208" s="1200"/>
      <c r="AG208" s="1199"/>
      <c r="AH208" s="1201"/>
      <c r="AI208" s="1202"/>
      <c r="AJ208" s="1205">
        <f>SUM(AJ187:AJ207)</f>
        <v>0</v>
      </c>
      <c r="AK208" s="1205">
        <f t="shared" ref="AK208:AL208" si="168">SUM(AK187:AK207)</f>
        <v>1195.4068533333334</v>
      </c>
      <c r="AL208" s="1206">
        <f t="shared" si="168"/>
        <v>0</v>
      </c>
    </row>
    <row r="209" spans="1:38" ht="19.5" thickTop="1">
      <c r="A209" s="1136"/>
      <c r="B209" s="1148"/>
      <c r="C209" s="1128"/>
      <c r="D209" s="1127"/>
      <c r="E209" s="1127"/>
      <c r="F209" s="1129"/>
      <c r="G209" s="1129"/>
      <c r="H209" s="1129"/>
      <c r="I209" s="1181"/>
      <c r="J209" s="1131"/>
      <c r="K209" s="1132"/>
      <c r="L209" s="1133"/>
      <c r="M209" s="1127"/>
      <c r="N209" s="1134"/>
      <c r="O209" s="1094"/>
      <c r="P209" s="1182"/>
      <c r="Q209" s="1136"/>
      <c r="R209" s="1137"/>
      <c r="S209" s="1138"/>
      <c r="T209" s="1139"/>
      <c r="U209" s="1131"/>
      <c r="V209" s="1139"/>
      <c r="W209" s="1140"/>
      <c r="X209" s="1122"/>
      <c r="Y209" s="1183"/>
      <c r="Z209" s="1142"/>
      <c r="AA209" s="1137"/>
      <c r="AB209" s="1138"/>
      <c r="AC209" s="1139"/>
      <c r="AD209" s="1131"/>
      <c r="AE209" s="1139"/>
      <c r="AF209" s="1131"/>
      <c r="AG209" s="1139"/>
      <c r="AH209" s="1140"/>
      <c r="AI209" s="1122"/>
      <c r="AJ209" s="1144"/>
      <c r="AK209" s="1145"/>
      <c r="AL209" s="1207"/>
    </row>
    <row r="210" spans="1:38" ht="18.75">
      <c r="A210" s="1136"/>
      <c r="B210" s="1166" t="s">
        <v>1277</v>
      </c>
      <c r="C210" s="1128" t="s">
        <v>1297</v>
      </c>
      <c r="D210" s="1127">
        <v>1</v>
      </c>
      <c r="E210" s="1127" t="s">
        <v>1279</v>
      </c>
      <c r="F210" s="1129">
        <v>0.3</v>
      </c>
      <c r="G210" s="1129">
        <v>0.16</v>
      </c>
      <c r="H210" s="1129">
        <v>1.5</v>
      </c>
      <c r="I210" s="1181">
        <v>1</v>
      </c>
      <c r="J210" s="1131">
        <v>8</v>
      </c>
      <c r="K210" s="1132"/>
      <c r="L210" s="1133">
        <f>I210*(((F210*G210*H210)/2)*J210)</f>
        <v>0.28800000000000003</v>
      </c>
      <c r="M210" s="1127" t="s">
        <v>1280</v>
      </c>
      <c r="N210" s="1134">
        <f>I210*(G210*H210*J210)</f>
        <v>1.92</v>
      </c>
      <c r="O210" s="1094"/>
      <c r="P210" s="1182" t="s">
        <v>1281</v>
      </c>
      <c r="Q210" s="1136">
        <v>8</v>
      </c>
      <c r="R210" s="1137"/>
      <c r="S210" s="1138">
        <v>1</v>
      </c>
      <c r="T210" s="1139">
        <f>(H210+0.4)-0.06</f>
        <v>1.8399999999999999</v>
      </c>
      <c r="U210" s="1131">
        <v>2</v>
      </c>
      <c r="V210" s="1139">
        <f>6*Q210/1000</f>
        <v>4.8000000000000001E-2</v>
      </c>
      <c r="W210" s="1140">
        <v>8</v>
      </c>
      <c r="X210" s="1122">
        <f>I210*((((T210)+(V210*U210)*S210)*W210))</f>
        <v>15.488</v>
      </c>
      <c r="Y210" s="1183" t="s">
        <v>1282</v>
      </c>
      <c r="Z210" s="1142">
        <v>13</v>
      </c>
      <c r="AA210" s="1137">
        <v>0.15</v>
      </c>
      <c r="AB210" s="1138">
        <f>($G$19)/AA210+1</f>
        <v>2</v>
      </c>
      <c r="AC210" s="1139">
        <v>3.77</v>
      </c>
      <c r="AD210" s="1131">
        <v>2</v>
      </c>
      <c r="AE210" s="1139">
        <f>6*Z210/1000</f>
        <v>7.8E-2</v>
      </c>
      <c r="AF210" s="1131">
        <v>2</v>
      </c>
      <c r="AG210" s="1143">
        <f t="shared" ref="AG210:AG214" si="169">(40*Z210/1000)*AF210</f>
        <v>1.04</v>
      </c>
      <c r="AH210" s="1140">
        <v>1</v>
      </c>
      <c r="AI210" s="1122">
        <f>$J$11*((((AC210)+(AE210*AD210)+(AG210*AF210))*AH210)*AB210)</f>
        <v>96.096000000000004</v>
      </c>
      <c r="AJ210" s="1144">
        <f t="shared" ref="AJ210:AJ215" si="170">((IF(Q210=$AK$7,X210,0)+(IF(Z210=$AK$7,AI210,0))))*$AK$9</f>
        <v>0</v>
      </c>
      <c r="AK210" s="1145">
        <f t="shared" ref="AK210:AK215" si="171">((IF(Q210=$AL$7,X210,0)+(IF(Z210=$AL$7,AI210,0))))*$AL$9</f>
        <v>100.148048</v>
      </c>
      <c r="AL210" s="1146">
        <f t="shared" ref="AL210:AL215" si="172">((IF(Q210=$AM$7,X210,0)+(IF(Z210=$AM$7,AI210,0))))*$AM$9</f>
        <v>0</v>
      </c>
    </row>
    <row r="211" spans="1:38" ht="18.75">
      <c r="A211" s="1126"/>
      <c r="B211" s="1127"/>
      <c r="C211" s="1128"/>
      <c r="D211" s="1127"/>
      <c r="E211" s="1127" t="s">
        <v>1283</v>
      </c>
      <c r="F211" s="1129">
        <v>1.5</v>
      </c>
      <c r="G211" s="1129">
        <v>0.15</v>
      </c>
      <c r="H211" s="1129">
        <v>2.4</v>
      </c>
      <c r="I211" s="1130">
        <v>1</v>
      </c>
      <c r="J211" s="1131"/>
      <c r="K211" s="1132"/>
      <c r="L211" s="1133">
        <f>I211*(F211*G211*H211)</f>
        <v>0.53999999999999992</v>
      </c>
      <c r="M211" s="1127" t="s">
        <v>1284</v>
      </c>
      <c r="N211" s="1134"/>
      <c r="O211" s="1094"/>
      <c r="P211" s="1135" t="s">
        <v>1285</v>
      </c>
      <c r="Q211" s="1136">
        <v>8</v>
      </c>
      <c r="R211" s="1137">
        <v>0.2</v>
      </c>
      <c r="S211" s="1138">
        <f>(H210/R211+1)</f>
        <v>8.5</v>
      </c>
      <c r="T211" s="1139">
        <f>(F210+G210+0.3)-(0.03*2)</f>
        <v>0.7</v>
      </c>
      <c r="U211" s="1131">
        <v>2</v>
      </c>
      <c r="V211" s="1139">
        <f>6*Q211/1000</f>
        <v>4.8000000000000001E-2</v>
      </c>
      <c r="W211" s="1140">
        <v>8</v>
      </c>
      <c r="X211" s="1122">
        <f>I210*(((((T211)+(V211*U211))*S211)*W211))</f>
        <v>54.127999999999993</v>
      </c>
      <c r="Y211" s="1141" t="s">
        <v>1286</v>
      </c>
      <c r="Z211" s="1142">
        <v>13</v>
      </c>
      <c r="AA211" s="1137">
        <v>0.15</v>
      </c>
      <c r="AB211" s="1138">
        <f>($G$19)/AA211+1</f>
        <v>2</v>
      </c>
      <c r="AC211" s="1139">
        <v>4.12</v>
      </c>
      <c r="AD211" s="1131">
        <v>2</v>
      </c>
      <c r="AE211" s="1139">
        <f>6*Z211/1000</f>
        <v>7.8E-2</v>
      </c>
      <c r="AF211" s="1131">
        <v>2</v>
      </c>
      <c r="AG211" s="1143">
        <f t="shared" si="169"/>
        <v>1.04</v>
      </c>
      <c r="AH211" s="1140">
        <v>1</v>
      </c>
      <c r="AI211" s="1122">
        <f t="shared" ref="AI211:AI212" si="173">$J$11*((((AC211)+(AE211*AD211)+(AG211*AF211))*AH211)*AB211)</f>
        <v>101.696</v>
      </c>
      <c r="AJ211" s="1144">
        <f t="shared" si="170"/>
        <v>0</v>
      </c>
      <c r="AK211" s="1145">
        <f t="shared" si="171"/>
        <v>105.98418133333334</v>
      </c>
      <c r="AL211" s="1146">
        <f t="shared" si="172"/>
        <v>0</v>
      </c>
    </row>
    <row r="212" spans="1:38" ht="18.75">
      <c r="A212" s="1126"/>
      <c r="B212" s="1127"/>
      <c r="C212" s="1128"/>
      <c r="D212" s="1127"/>
      <c r="E212" s="1127" t="s">
        <v>1287</v>
      </c>
      <c r="F212" s="1129">
        <v>1.5</v>
      </c>
      <c r="G212" s="1129">
        <v>0.15</v>
      </c>
      <c r="H212" s="1129">
        <v>1.536</v>
      </c>
      <c r="I212" s="1130">
        <v>1</v>
      </c>
      <c r="J212" s="1131"/>
      <c r="K212" s="1132"/>
      <c r="L212" s="1133">
        <f>I212*(F212*G212*H212)</f>
        <v>0.34559999999999996</v>
      </c>
      <c r="M212" s="1127" t="s">
        <v>1288</v>
      </c>
      <c r="N212" s="1134"/>
      <c r="O212" s="1094"/>
      <c r="P212" s="1135"/>
      <c r="Q212" s="1136"/>
      <c r="R212" s="1137"/>
      <c r="S212" s="1138"/>
      <c r="T212" s="1139"/>
      <c r="U212" s="1131"/>
      <c r="V212" s="1139"/>
      <c r="W212" s="1140"/>
      <c r="X212" s="1122"/>
      <c r="Y212" s="1141" t="s">
        <v>1289</v>
      </c>
      <c r="Z212" s="1142">
        <v>13</v>
      </c>
      <c r="AA212" s="1137">
        <v>0.15</v>
      </c>
      <c r="AB212" s="1138">
        <f>($G$19)/AA212+1</f>
        <v>2</v>
      </c>
      <c r="AC212" s="1139">
        <v>1.37</v>
      </c>
      <c r="AD212" s="1131">
        <v>2</v>
      </c>
      <c r="AE212" s="1139">
        <f>6*Z212/1000</f>
        <v>7.8E-2</v>
      </c>
      <c r="AF212" s="1131">
        <v>2</v>
      </c>
      <c r="AG212" s="1143">
        <f t="shared" si="169"/>
        <v>1.04</v>
      </c>
      <c r="AH212" s="1140">
        <v>1</v>
      </c>
      <c r="AI212" s="1122">
        <f t="shared" si="173"/>
        <v>57.695999999999998</v>
      </c>
      <c r="AJ212" s="1144">
        <f t="shared" si="170"/>
        <v>0</v>
      </c>
      <c r="AK212" s="1145">
        <f t="shared" si="171"/>
        <v>60.128847999999998</v>
      </c>
      <c r="AL212" s="1146">
        <f t="shared" si="172"/>
        <v>0</v>
      </c>
    </row>
    <row r="213" spans="1:38" ht="18.75">
      <c r="A213" s="1126"/>
      <c r="B213" s="1127"/>
      <c r="C213" s="1128"/>
      <c r="D213" s="1127"/>
      <c r="E213" s="1127"/>
      <c r="F213" s="1129"/>
      <c r="G213" s="1129"/>
      <c r="H213" s="1129"/>
      <c r="I213" s="1130"/>
      <c r="J213" s="1131"/>
      <c r="K213" s="1132"/>
      <c r="L213" s="1133"/>
      <c r="M213" s="1127" t="s">
        <v>1290</v>
      </c>
      <c r="N213" s="1134"/>
      <c r="O213" s="1094"/>
      <c r="P213" s="1135"/>
      <c r="Q213" s="1136"/>
      <c r="R213" s="1137"/>
      <c r="S213" s="1138"/>
      <c r="T213" s="1139"/>
      <c r="U213" s="1131"/>
      <c r="V213" s="1139"/>
      <c r="W213" s="1140"/>
      <c r="X213" s="1145"/>
      <c r="Y213" s="1184" t="s">
        <v>1294</v>
      </c>
      <c r="Z213" s="1137">
        <v>13</v>
      </c>
      <c r="AA213" s="1137">
        <v>0.15</v>
      </c>
      <c r="AB213" s="1138">
        <f>($G$19)/AA213+1</f>
        <v>2</v>
      </c>
      <c r="AC213" s="1139">
        <v>1.74</v>
      </c>
      <c r="AD213" s="1131">
        <v>2</v>
      </c>
      <c r="AE213" s="1139">
        <f t="shared" ref="AE213:AE214" si="174">6*Z213/1000</f>
        <v>7.8E-2</v>
      </c>
      <c r="AF213" s="1131">
        <v>2</v>
      </c>
      <c r="AG213" s="1143">
        <f t="shared" si="169"/>
        <v>1.04</v>
      </c>
      <c r="AH213" s="1140">
        <v>2</v>
      </c>
      <c r="AI213" s="1122">
        <f>$J$11*((((AC213)+(AE213*AD213)+(AG213*AF213))*AH213)*AB213)</f>
        <v>127.232</v>
      </c>
      <c r="AJ213" s="1144">
        <f t="shared" si="170"/>
        <v>0</v>
      </c>
      <c r="AK213" s="1145">
        <f t="shared" si="171"/>
        <v>132.59694933333333</v>
      </c>
      <c r="AL213" s="1146">
        <f t="shared" si="172"/>
        <v>0</v>
      </c>
    </row>
    <row r="214" spans="1:38" ht="18.75">
      <c r="A214" s="1126"/>
      <c r="B214" s="1127"/>
      <c r="C214" s="1128"/>
      <c r="D214" s="1127"/>
      <c r="E214" s="1127"/>
      <c r="F214" s="1129"/>
      <c r="G214" s="1129"/>
      <c r="H214" s="1129"/>
      <c r="I214" s="1130"/>
      <c r="J214" s="1131"/>
      <c r="K214" s="1132"/>
      <c r="L214" s="1133"/>
      <c r="M214" s="1127" t="s">
        <v>1292</v>
      </c>
      <c r="N214" s="1134">
        <f>I211*(F211*H211)</f>
        <v>3.5999999999999996</v>
      </c>
      <c r="O214" s="1094"/>
      <c r="P214" s="1135"/>
      <c r="Q214" s="1136"/>
      <c r="R214" s="1137"/>
      <c r="S214" s="1138"/>
      <c r="T214" s="1139"/>
      <c r="U214" s="1131"/>
      <c r="V214" s="1139"/>
      <c r="W214" s="1140"/>
      <c r="X214" s="1122"/>
      <c r="Y214" s="1141" t="s">
        <v>1291</v>
      </c>
      <c r="Z214" s="1142">
        <v>8</v>
      </c>
      <c r="AA214" s="1137">
        <v>0.15</v>
      </c>
      <c r="AB214" s="1138">
        <f>(H211)/AA214+1</f>
        <v>17</v>
      </c>
      <c r="AC214" s="1139">
        <f>(F211+0.3)-0.06</f>
        <v>1.74</v>
      </c>
      <c r="AD214" s="1131">
        <v>2</v>
      </c>
      <c r="AE214" s="1139">
        <f t="shared" si="174"/>
        <v>4.8000000000000001E-2</v>
      </c>
      <c r="AF214" s="1131">
        <v>0</v>
      </c>
      <c r="AG214" s="1143">
        <f t="shared" si="169"/>
        <v>0</v>
      </c>
      <c r="AH214" s="1140">
        <v>2</v>
      </c>
      <c r="AI214" s="1122">
        <f>$J$11*((((AC214)+(AE214*AD214)+(AG214*AF214))*AH214)*AB214)</f>
        <v>499.392</v>
      </c>
      <c r="AJ214" s="1144">
        <f t="shared" si="170"/>
        <v>0</v>
      </c>
      <c r="AK214" s="1145">
        <f t="shared" si="171"/>
        <v>0</v>
      </c>
      <c r="AL214" s="1146">
        <f t="shared" si="172"/>
        <v>0</v>
      </c>
    </row>
    <row r="215" spans="1:38" ht="18.75">
      <c r="A215" s="1126"/>
      <c r="B215" s="1127"/>
      <c r="C215" s="1128"/>
      <c r="D215" s="1127"/>
      <c r="E215" s="1127"/>
      <c r="F215" s="1129"/>
      <c r="G215" s="1129"/>
      <c r="H215" s="1129"/>
      <c r="I215" s="1130"/>
      <c r="J215" s="1131"/>
      <c r="K215" s="1132"/>
      <c r="L215" s="1133"/>
      <c r="M215" s="1127" t="s">
        <v>1293</v>
      </c>
      <c r="N215" s="1134">
        <f>I212*(F212*H212)</f>
        <v>2.3040000000000003</v>
      </c>
      <c r="O215" s="1094"/>
      <c r="P215" s="1135"/>
      <c r="Q215" s="1136"/>
      <c r="R215" s="1137"/>
      <c r="S215" s="1138"/>
      <c r="T215" s="1139"/>
      <c r="U215" s="1131"/>
      <c r="V215" s="1139"/>
      <c r="W215" s="1140"/>
      <c r="X215" s="1122"/>
      <c r="Y215" s="1141"/>
      <c r="Z215" s="1142"/>
      <c r="AA215" s="1137"/>
      <c r="AB215" s="1138"/>
      <c r="AC215" s="1139"/>
      <c r="AD215" s="1131"/>
      <c r="AE215" s="1139"/>
      <c r="AF215" s="1131"/>
      <c r="AG215" s="1139"/>
      <c r="AH215" s="1140"/>
      <c r="AI215" s="1122"/>
      <c r="AJ215" s="1144">
        <f t="shared" si="170"/>
        <v>0</v>
      </c>
      <c r="AK215" s="1145">
        <f t="shared" si="171"/>
        <v>0</v>
      </c>
      <c r="AL215" s="1146">
        <f t="shared" si="172"/>
        <v>0</v>
      </c>
    </row>
    <row r="216" spans="1:38" ht="18.75">
      <c r="A216" s="1126"/>
      <c r="B216" s="1127"/>
      <c r="C216" s="1128"/>
      <c r="D216" s="1127"/>
      <c r="E216" s="1127"/>
      <c r="F216" s="1168"/>
      <c r="G216" s="1168"/>
      <c r="H216" s="1168"/>
      <c r="I216" s="1130"/>
      <c r="J216" s="1169"/>
      <c r="K216" s="1132"/>
      <c r="L216" s="1133"/>
      <c r="M216" s="1127"/>
      <c r="N216" s="1134"/>
      <c r="O216" s="1094"/>
      <c r="P216" s="1135"/>
      <c r="Q216" s="1136"/>
      <c r="R216" s="1137"/>
      <c r="S216" s="1138"/>
      <c r="T216" s="1139"/>
      <c r="U216" s="1131"/>
      <c r="V216" s="1139"/>
      <c r="W216" s="1140"/>
      <c r="X216" s="1122"/>
      <c r="Y216" s="1141"/>
      <c r="Z216" s="1142"/>
      <c r="AA216" s="1137"/>
      <c r="AB216" s="1138"/>
      <c r="AC216" s="1139"/>
      <c r="AD216" s="1131"/>
      <c r="AE216" s="1139"/>
      <c r="AF216" s="1131"/>
      <c r="AG216" s="1139"/>
      <c r="AH216" s="1140"/>
      <c r="AI216" s="1122"/>
      <c r="AJ216" s="1144"/>
      <c r="AK216" s="1145"/>
      <c r="AL216" s="1146"/>
    </row>
    <row r="217" spans="1:38" ht="18.75">
      <c r="A217" s="1136"/>
      <c r="B217" s="1166"/>
      <c r="C217" s="1128"/>
      <c r="D217" s="1127">
        <v>2</v>
      </c>
      <c r="E217" s="1127" t="s">
        <v>1279</v>
      </c>
      <c r="F217" s="1129">
        <v>0.3</v>
      </c>
      <c r="G217" s="1129">
        <v>0.16</v>
      </c>
      <c r="H217" s="1129">
        <v>1.5</v>
      </c>
      <c r="I217" s="1181">
        <v>1</v>
      </c>
      <c r="J217" s="1131">
        <v>9</v>
      </c>
      <c r="K217" s="1132"/>
      <c r="L217" s="1133">
        <f>I217*(((F217*G217*H217)/2)*J217)</f>
        <v>0.32400000000000007</v>
      </c>
      <c r="M217" s="1127" t="s">
        <v>1280</v>
      </c>
      <c r="N217" s="1134">
        <f>I217*(G217*H217*J217)</f>
        <v>2.16</v>
      </c>
      <c r="O217" s="1094"/>
      <c r="P217" s="1182" t="s">
        <v>1281</v>
      </c>
      <c r="Q217" s="1136">
        <v>8</v>
      </c>
      <c r="R217" s="1137"/>
      <c r="S217" s="1138">
        <v>1</v>
      </c>
      <c r="T217" s="1139">
        <f>(H217+0.4)-0.06</f>
        <v>1.8399999999999999</v>
      </c>
      <c r="U217" s="1131">
        <v>2</v>
      </c>
      <c r="V217" s="1139">
        <f>6*Q217/1000</f>
        <v>4.8000000000000001E-2</v>
      </c>
      <c r="W217" s="1140">
        <v>9</v>
      </c>
      <c r="X217" s="1122">
        <f>I217*((((T217)+(V217*U217)*S217)*W217))</f>
        <v>17.423999999999999</v>
      </c>
      <c r="Y217" s="1183" t="s">
        <v>1282</v>
      </c>
      <c r="Z217" s="1142">
        <v>13</v>
      </c>
      <c r="AA217" s="1137">
        <v>0.15</v>
      </c>
      <c r="AB217" s="1138">
        <f>($G$19)/AA217+1</f>
        <v>2</v>
      </c>
      <c r="AC217" s="1139">
        <f>1.5+3.06</f>
        <v>4.5600000000000005</v>
      </c>
      <c r="AD217" s="1131">
        <v>2</v>
      </c>
      <c r="AE217" s="1139">
        <f>6*Z217/1000</f>
        <v>7.8E-2</v>
      </c>
      <c r="AF217" s="1131">
        <v>2</v>
      </c>
      <c r="AG217" s="1143">
        <f t="shared" ref="AG217:AG221" si="175">(40*Z217/1000)*AF217</f>
        <v>1.04</v>
      </c>
      <c r="AH217" s="1140">
        <v>1</v>
      </c>
      <c r="AI217" s="1122">
        <f>$J$11*((((AC217)+(AE217*AD217)+(AG217*AF217))*AH217)*AB217)</f>
        <v>108.736</v>
      </c>
      <c r="AJ217" s="1144">
        <f t="shared" ref="AJ217:AJ222" si="176">((IF(Q217=$AK$7,X217,0)+(IF(Z217=$AK$7,AI217,0))))*$AK$9</f>
        <v>0</v>
      </c>
      <c r="AK217" s="1145">
        <f t="shared" ref="AK217:AK222" si="177">((IF(Q217=$AL$7,X217,0)+(IF(Z217=$AL$7,AI217,0))))*$AL$9</f>
        <v>113.32103466666668</v>
      </c>
      <c r="AL217" s="1146">
        <f t="shared" ref="AL217:AL222" si="178">((IF(Q217=$AM$7,X217,0)+(IF(Z217=$AM$7,AI217,0))))*$AM$9</f>
        <v>0</v>
      </c>
    </row>
    <row r="218" spans="1:38" ht="18.75">
      <c r="A218" s="1126"/>
      <c r="B218" s="1127"/>
      <c r="C218" s="1128"/>
      <c r="D218" s="1127"/>
      <c r="E218" s="1127" t="s">
        <v>1283</v>
      </c>
      <c r="F218" s="1129">
        <v>1.5</v>
      </c>
      <c r="G218" s="1129">
        <v>0.15</v>
      </c>
      <c r="H218" s="1129">
        <f>0.34*9</f>
        <v>3.06</v>
      </c>
      <c r="I218" s="1130">
        <v>1</v>
      </c>
      <c r="J218" s="1131"/>
      <c r="K218" s="1132"/>
      <c r="L218" s="1133">
        <f>I218*(F218*G218*H218)</f>
        <v>0.68849999999999989</v>
      </c>
      <c r="M218" s="1127" t="s">
        <v>1284</v>
      </c>
      <c r="N218" s="1134"/>
      <c r="O218" s="1094"/>
      <c r="P218" s="1135" t="s">
        <v>1285</v>
      </c>
      <c r="Q218" s="1136">
        <v>8</v>
      </c>
      <c r="R218" s="1137">
        <v>0.2</v>
      </c>
      <c r="S218" s="1138">
        <f>(H217/R218+1)</f>
        <v>8.5</v>
      </c>
      <c r="T218" s="1139">
        <f>(F217+G217+0.3)-(0.03*2)</f>
        <v>0.7</v>
      </c>
      <c r="U218" s="1131">
        <v>2</v>
      </c>
      <c r="V218" s="1139">
        <f>6*Q218/1000</f>
        <v>4.8000000000000001E-2</v>
      </c>
      <c r="W218" s="1140">
        <v>9</v>
      </c>
      <c r="X218" s="1122">
        <f>I217*(((((T218)+(V218*U218))*S218)*W218))</f>
        <v>60.893999999999991</v>
      </c>
      <c r="Y218" s="1141" t="s">
        <v>1286</v>
      </c>
      <c r="Z218" s="1142">
        <v>13</v>
      </c>
      <c r="AA218" s="1137">
        <v>0.15</v>
      </c>
      <c r="AB218" s="1138">
        <f>($G$19)/AA218+1</f>
        <v>2</v>
      </c>
      <c r="AC218" s="1139">
        <f>1.5+3.06</f>
        <v>4.5600000000000005</v>
      </c>
      <c r="AD218" s="1131">
        <v>2</v>
      </c>
      <c r="AE218" s="1139">
        <f>6*Z218/1000</f>
        <v>7.8E-2</v>
      </c>
      <c r="AF218" s="1131">
        <v>2</v>
      </c>
      <c r="AG218" s="1143">
        <f t="shared" si="175"/>
        <v>1.04</v>
      </c>
      <c r="AH218" s="1140">
        <v>1</v>
      </c>
      <c r="AI218" s="1122">
        <f t="shared" ref="AI218:AI219" si="179">$J$11*((((AC218)+(AE218*AD218)+(AG218*AF218))*AH218)*AB218)</f>
        <v>108.736</v>
      </c>
      <c r="AJ218" s="1144">
        <f t="shared" si="176"/>
        <v>0</v>
      </c>
      <c r="AK218" s="1145">
        <f t="shared" si="177"/>
        <v>113.32103466666668</v>
      </c>
      <c r="AL218" s="1146">
        <f t="shared" si="178"/>
        <v>0</v>
      </c>
    </row>
    <row r="219" spans="1:38" ht="18.75">
      <c r="A219" s="1126"/>
      <c r="B219" s="1127"/>
      <c r="C219" s="1128"/>
      <c r="D219" s="1127"/>
      <c r="E219" s="1127" t="s">
        <v>1287</v>
      </c>
      <c r="F219" s="1129">
        <v>1.5</v>
      </c>
      <c r="G219" s="1129">
        <v>0.15</v>
      </c>
      <c r="H219" s="1129">
        <v>1.91</v>
      </c>
      <c r="I219" s="1130">
        <v>1</v>
      </c>
      <c r="J219" s="1131"/>
      <c r="K219" s="1132"/>
      <c r="L219" s="1133">
        <f>I219*(F219*G219*H219)</f>
        <v>0.42974999999999997</v>
      </c>
      <c r="M219" s="1127" t="s">
        <v>1288</v>
      </c>
      <c r="N219" s="1134"/>
      <c r="O219" s="1094"/>
      <c r="P219" s="1135"/>
      <c r="Q219" s="1136"/>
      <c r="R219" s="1137"/>
      <c r="S219" s="1138"/>
      <c r="T219" s="1139"/>
      <c r="U219" s="1131"/>
      <c r="V219" s="1139"/>
      <c r="W219" s="1140"/>
      <c r="X219" s="1122"/>
      <c r="Y219" s="1141" t="s">
        <v>1289</v>
      </c>
      <c r="Z219" s="1142">
        <v>13</v>
      </c>
      <c r="AA219" s="1137">
        <v>0.15</v>
      </c>
      <c r="AB219" s="1138">
        <f>($G$19)/AA219+1</f>
        <v>2</v>
      </c>
      <c r="AC219" s="1139">
        <v>1.5</v>
      </c>
      <c r="AD219" s="1131">
        <v>2</v>
      </c>
      <c r="AE219" s="1139">
        <f>6*Z219/1000</f>
        <v>7.8E-2</v>
      </c>
      <c r="AF219" s="1131">
        <v>2</v>
      </c>
      <c r="AG219" s="1143">
        <f t="shared" si="175"/>
        <v>1.04</v>
      </c>
      <c r="AH219" s="1140">
        <v>1</v>
      </c>
      <c r="AI219" s="1122">
        <f t="shared" si="179"/>
        <v>59.775999999999996</v>
      </c>
      <c r="AJ219" s="1144">
        <f t="shared" si="176"/>
        <v>0</v>
      </c>
      <c r="AK219" s="1145">
        <f t="shared" si="177"/>
        <v>62.296554666666665</v>
      </c>
      <c r="AL219" s="1146">
        <f t="shared" si="178"/>
        <v>0</v>
      </c>
    </row>
    <row r="220" spans="1:38" ht="18.75">
      <c r="A220" s="1126"/>
      <c r="B220" s="1127"/>
      <c r="C220" s="1128"/>
      <c r="D220" s="1127"/>
      <c r="E220" s="1127"/>
      <c r="F220" s="1129"/>
      <c r="G220" s="1129"/>
      <c r="H220" s="1129"/>
      <c r="I220" s="1130"/>
      <c r="J220" s="1131"/>
      <c r="K220" s="1132"/>
      <c r="L220" s="1133"/>
      <c r="M220" s="1127" t="s">
        <v>1290</v>
      </c>
      <c r="N220" s="1134"/>
      <c r="O220" s="1094"/>
      <c r="P220" s="1135"/>
      <c r="Q220" s="1136"/>
      <c r="R220" s="1137"/>
      <c r="S220" s="1138"/>
      <c r="T220" s="1139"/>
      <c r="U220" s="1131"/>
      <c r="V220" s="1139"/>
      <c r="W220" s="1140"/>
      <c r="X220" s="1145"/>
      <c r="Y220" s="1184" t="s">
        <v>1294</v>
      </c>
      <c r="Z220" s="1137">
        <v>13</v>
      </c>
      <c r="AA220" s="1137">
        <v>0.15</v>
      </c>
      <c r="AB220" s="1138">
        <f>($G$19)/AA220+1</f>
        <v>2</v>
      </c>
      <c r="AC220" s="1139">
        <v>1.5</v>
      </c>
      <c r="AD220" s="1131">
        <v>2</v>
      </c>
      <c r="AE220" s="1139">
        <f t="shared" ref="AE220:AE221" si="180">6*Z220/1000</f>
        <v>7.8E-2</v>
      </c>
      <c r="AF220" s="1131">
        <v>2</v>
      </c>
      <c r="AG220" s="1143">
        <f t="shared" si="175"/>
        <v>1.04</v>
      </c>
      <c r="AH220" s="1140">
        <v>2</v>
      </c>
      <c r="AI220" s="1122">
        <f>$J$11*((((AC220)+(AE220*AD220)+(AG220*AF220))*AH220)*AB220)</f>
        <v>119.55199999999999</v>
      </c>
      <c r="AJ220" s="1144">
        <f t="shared" si="176"/>
        <v>0</v>
      </c>
      <c r="AK220" s="1145">
        <f t="shared" si="177"/>
        <v>124.59310933333333</v>
      </c>
      <c r="AL220" s="1146">
        <f t="shared" si="178"/>
        <v>0</v>
      </c>
    </row>
    <row r="221" spans="1:38" ht="18.75">
      <c r="A221" s="1126"/>
      <c r="B221" s="1127"/>
      <c r="C221" s="1128"/>
      <c r="D221" s="1127"/>
      <c r="E221" s="1127"/>
      <c r="F221" s="1129"/>
      <c r="G221" s="1129"/>
      <c r="H221" s="1129"/>
      <c r="I221" s="1130"/>
      <c r="J221" s="1131"/>
      <c r="K221" s="1132"/>
      <c r="L221" s="1133"/>
      <c r="M221" s="1127" t="s">
        <v>1292</v>
      </c>
      <c r="N221" s="1134">
        <f>I218*(F218*H218)</f>
        <v>4.59</v>
      </c>
      <c r="O221" s="1094"/>
      <c r="P221" s="1135"/>
      <c r="Q221" s="1136"/>
      <c r="R221" s="1137"/>
      <c r="S221" s="1138"/>
      <c r="T221" s="1139"/>
      <c r="U221" s="1131"/>
      <c r="V221" s="1139"/>
      <c r="W221" s="1140"/>
      <c r="X221" s="1122"/>
      <c r="Y221" s="1141" t="s">
        <v>1291</v>
      </c>
      <c r="Z221" s="1142">
        <v>8</v>
      </c>
      <c r="AA221" s="1137">
        <v>0.15</v>
      </c>
      <c r="AB221" s="1138">
        <f>(H218)/AA221+1</f>
        <v>21.400000000000002</v>
      </c>
      <c r="AC221" s="1139">
        <f>(F218+0.3)-0.06</f>
        <v>1.74</v>
      </c>
      <c r="AD221" s="1131">
        <v>2</v>
      </c>
      <c r="AE221" s="1139">
        <f t="shared" si="180"/>
        <v>4.8000000000000001E-2</v>
      </c>
      <c r="AF221" s="1131">
        <v>0</v>
      </c>
      <c r="AG221" s="1143">
        <f t="shared" si="175"/>
        <v>0</v>
      </c>
      <c r="AH221" s="1140">
        <v>2</v>
      </c>
      <c r="AI221" s="1122">
        <f>$J$11*((((AC221)+(AE221*AD221)+(AG221*AF221))*AH221)*AB221)</f>
        <v>628.64640000000009</v>
      </c>
      <c r="AJ221" s="1144">
        <f t="shared" si="176"/>
        <v>0</v>
      </c>
      <c r="AK221" s="1145">
        <f t="shared" si="177"/>
        <v>0</v>
      </c>
      <c r="AL221" s="1146">
        <f t="shared" si="178"/>
        <v>0</v>
      </c>
    </row>
    <row r="222" spans="1:38" ht="18.75">
      <c r="A222" s="1126"/>
      <c r="B222" s="1127"/>
      <c r="C222" s="1128"/>
      <c r="D222" s="1127"/>
      <c r="E222" s="1127"/>
      <c r="F222" s="1129"/>
      <c r="G222" s="1129"/>
      <c r="H222" s="1129"/>
      <c r="I222" s="1130"/>
      <c r="J222" s="1131"/>
      <c r="K222" s="1132"/>
      <c r="L222" s="1133"/>
      <c r="M222" s="1127" t="s">
        <v>1293</v>
      </c>
      <c r="N222" s="1134">
        <f>I219*(F219*H219)</f>
        <v>2.8649999999999998</v>
      </c>
      <c r="O222" s="1094"/>
      <c r="P222" s="1135"/>
      <c r="Q222" s="1136"/>
      <c r="R222" s="1137"/>
      <c r="S222" s="1138"/>
      <c r="T222" s="1139"/>
      <c r="U222" s="1131"/>
      <c r="V222" s="1139"/>
      <c r="W222" s="1140"/>
      <c r="X222" s="1122"/>
      <c r="Y222" s="1141"/>
      <c r="Z222" s="1142"/>
      <c r="AA222" s="1137"/>
      <c r="AB222" s="1138"/>
      <c r="AC222" s="1139"/>
      <c r="AD222" s="1131"/>
      <c r="AE222" s="1139"/>
      <c r="AF222" s="1131"/>
      <c r="AG222" s="1139"/>
      <c r="AH222" s="1140"/>
      <c r="AI222" s="1122"/>
      <c r="AJ222" s="1144">
        <f t="shared" si="176"/>
        <v>0</v>
      </c>
      <c r="AK222" s="1145">
        <f t="shared" si="177"/>
        <v>0</v>
      </c>
      <c r="AL222" s="1146">
        <f t="shared" si="178"/>
        <v>0</v>
      </c>
    </row>
    <row r="223" spans="1:38" ht="18.75">
      <c r="A223" s="1126"/>
      <c r="B223" s="1127"/>
      <c r="C223" s="1128"/>
      <c r="D223" s="1127"/>
      <c r="E223" s="1127"/>
      <c r="F223" s="1168"/>
      <c r="G223" s="1168"/>
      <c r="H223" s="1168"/>
      <c r="I223" s="1130"/>
      <c r="J223" s="1169"/>
      <c r="K223" s="1132"/>
      <c r="L223" s="1133"/>
      <c r="M223" s="1127"/>
      <c r="N223" s="1134"/>
      <c r="O223" s="1094"/>
      <c r="P223" s="1135"/>
      <c r="Q223" s="1136"/>
      <c r="R223" s="1137"/>
      <c r="S223" s="1138"/>
      <c r="T223" s="1139"/>
      <c r="U223" s="1131"/>
      <c r="V223" s="1139"/>
      <c r="W223" s="1140"/>
      <c r="X223" s="1122"/>
      <c r="Y223" s="1141"/>
      <c r="Z223" s="1142"/>
      <c r="AA223" s="1137"/>
      <c r="AB223" s="1138"/>
      <c r="AC223" s="1139"/>
      <c r="AD223" s="1131"/>
      <c r="AE223" s="1139"/>
      <c r="AF223" s="1131"/>
      <c r="AG223" s="1139"/>
      <c r="AH223" s="1140"/>
      <c r="AI223" s="1122"/>
      <c r="AJ223" s="1144"/>
      <c r="AK223" s="1145"/>
      <c r="AL223" s="1146"/>
    </row>
    <row r="224" spans="1:38" ht="18.75">
      <c r="A224" s="1136"/>
      <c r="B224" s="1166"/>
      <c r="C224" s="1128"/>
      <c r="D224" s="1127">
        <v>3</v>
      </c>
      <c r="E224" s="1127" t="s">
        <v>1279</v>
      </c>
      <c r="F224" s="1129">
        <v>0.3</v>
      </c>
      <c r="G224" s="1129">
        <v>0.16</v>
      </c>
      <c r="H224" s="1129">
        <v>1.5</v>
      </c>
      <c r="I224" s="1181">
        <v>1</v>
      </c>
      <c r="J224" s="1131">
        <v>8</v>
      </c>
      <c r="K224" s="1132"/>
      <c r="L224" s="1133">
        <f>I224*(((F224*G224*H224)/2)*J224)</f>
        <v>0.28800000000000003</v>
      </c>
      <c r="M224" s="1127" t="s">
        <v>1280</v>
      </c>
      <c r="N224" s="1134">
        <f>I224*(G224*H224*J224)</f>
        <v>1.92</v>
      </c>
      <c r="O224" s="1094"/>
      <c r="P224" s="1182" t="s">
        <v>1281</v>
      </c>
      <c r="Q224" s="1136">
        <v>8</v>
      </c>
      <c r="R224" s="1137"/>
      <c r="S224" s="1138">
        <v>1</v>
      </c>
      <c r="T224" s="1139">
        <f>(H224+0.4)-0.06</f>
        <v>1.8399999999999999</v>
      </c>
      <c r="U224" s="1131">
        <v>2</v>
      </c>
      <c r="V224" s="1139">
        <f>6*Q224/1000</f>
        <v>4.8000000000000001E-2</v>
      </c>
      <c r="W224" s="1140">
        <v>8</v>
      </c>
      <c r="X224" s="1122">
        <f>I224*((((T224)+(V224*U224)*S224)*W224))</f>
        <v>15.488</v>
      </c>
      <c r="Y224" s="1183" t="s">
        <v>1282</v>
      </c>
      <c r="Z224" s="1142">
        <v>13</v>
      </c>
      <c r="AA224" s="1137">
        <v>0.15</v>
      </c>
      <c r="AB224" s="1138">
        <f>($G$19)/AA224+1</f>
        <v>2</v>
      </c>
      <c r="AC224" s="1139">
        <v>4.83</v>
      </c>
      <c r="AD224" s="1131">
        <v>2</v>
      </c>
      <c r="AE224" s="1139">
        <f>6*Z224/1000</f>
        <v>7.8E-2</v>
      </c>
      <c r="AF224" s="1131">
        <v>2</v>
      </c>
      <c r="AG224" s="1143">
        <f t="shared" ref="AG224:AG228" si="181">(40*Z224/1000)*AF224</f>
        <v>1.04</v>
      </c>
      <c r="AH224" s="1140">
        <v>1</v>
      </c>
      <c r="AI224" s="1122">
        <f>$J$11*((((AC224)+(AE224*AD224)+(AG224*AF224))*AH224)*AB224)</f>
        <v>113.056</v>
      </c>
      <c r="AJ224" s="1144">
        <f t="shared" ref="AJ224:AJ229" si="182">((IF(Q224=$AK$7,X224,0)+(IF(Z224=$AK$7,AI224,0))))*$AK$9</f>
        <v>0</v>
      </c>
      <c r="AK224" s="1145">
        <f t="shared" ref="AK224:AK229" si="183">((IF(Q224=$AL$7,X224,0)+(IF(Z224=$AL$7,AI224,0))))*$AL$9</f>
        <v>117.82319466666667</v>
      </c>
      <c r="AL224" s="1146">
        <f t="shared" ref="AL224:AL229" si="184">((IF(Q224=$AM$7,X224,0)+(IF(Z224=$AM$7,AI224,0))))*$AM$9</f>
        <v>0</v>
      </c>
    </row>
    <row r="225" spans="1:38" ht="18.75">
      <c r="A225" s="1126"/>
      <c r="B225" s="1127"/>
      <c r="C225" s="1128"/>
      <c r="D225" s="1127"/>
      <c r="E225" s="1127" t="s">
        <v>1283</v>
      </c>
      <c r="F225" s="1129">
        <v>1.5</v>
      </c>
      <c r="G225" s="1129">
        <v>0.15</v>
      </c>
      <c r="H225" s="1129">
        <v>2.72</v>
      </c>
      <c r="I225" s="1130">
        <v>1</v>
      </c>
      <c r="J225" s="1131"/>
      <c r="K225" s="1132"/>
      <c r="L225" s="1133">
        <f>I225*(F225*G225*H225)</f>
        <v>0.61199999999999999</v>
      </c>
      <c r="M225" s="1127" t="s">
        <v>1284</v>
      </c>
      <c r="N225" s="1134"/>
      <c r="O225" s="1094"/>
      <c r="P225" s="1135" t="s">
        <v>1285</v>
      </c>
      <c r="Q225" s="1136">
        <v>8</v>
      </c>
      <c r="R225" s="1137">
        <v>0.2</v>
      </c>
      <c r="S225" s="1138">
        <f>(H224/R225+1)</f>
        <v>8.5</v>
      </c>
      <c r="T225" s="1139">
        <f>(F224+G224+0.3)-(0.03*2)</f>
        <v>0.7</v>
      </c>
      <c r="U225" s="1131">
        <v>2</v>
      </c>
      <c r="V225" s="1139">
        <f>6*Q225/1000</f>
        <v>4.8000000000000001E-2</v>
      </c>
      <c r="W225" s="1140">
        <v>8</v>
      </c>
      <c r="X225" s="1122">
        <f>I224*(((((T225)+(V225*U225))*S225)*W225))</f>
        <v>54.127999999999993</v>
      </c>
      <c r="Y225" s="1141" t="s">
        <v>1286</v>
      </c>
      <c r="Z225" s="1142">
        <v>13</v>
      </c>
      <c r="AA225" s="1137">
        <v>0.15</v>
      </c>
      <c r="AB225" s="1138">
        <f>($G$19)/AA225+1</f>
        <v>2</v>
      </c>
      <c r="AC225" s="1139">
        <f>0.71+2.72</f>
        <v>3.43</v>
      </c>
      <c r="AD225" s="1131">
        <v>2</v>
      </c>
      <c r="AE225" s="1139">
        <f>6*Z225/1000</f>
        <v>7.8E-2</v>
      </c>
      <c r="AF225" s="1131">
        <v>2</v>
      </c>
      <c r="AG225" s="1143">
        <f t="shared" si="181"/>
        <v>1.04</v>
      </c>
      <c r="AH225" s="1140">
        <v>1</v>
      </c>
      <c r="AI225" s="1122">
        <f t="shared" ref="AI225:AI226" si="185">$J$11*((((AC225)+(AE225*AD225)+(AG225*AF225))*AH225)*AB225)</f>
        <v>90.656000000000006</v>
      </c>
      <c r="AJ225" s="1144">
        <f t="shared" si="182"/>
        <v>0</v>
      </c>
      <c r="AK225" s="1145">
        <f t="shared" si="183"/>
        <v>94.478661333333335</v>
      </c>
      <c r="AL225" s="1146">
        <f t="shared" si="184"/>
        <v>0</v>
      </c>
    </row>
    <row r="226" spans="1:38" ht="18.75">
      <c r="A226" s="1126"/>
      <c r="B226" s="1127"/>
      <c r="C226" s="1128"/>
      <c r="D226" s="1127"/>
      <c r="E226" s="1127"/>
      <c r="F226" s="1129"/>
      <c r="G226" s="1129"/>
      <c r="H226" s="1129"/>
      <c r="I226" s="1130"/>
      <c r="J226" s="1131"/>
      <c r="K226" s="1132"/>
      <c r="L226" s="1133">
        <f>I226*(F226*G226*H226)</f>
        <v>0</v>
      </c>
      <c r="M226" s="1127" t="s">
        <v>1288</v>
      </c>
      <c r="N226" s="1134"/>
      <c r="O226" s="1094"/>
      <c r="P226" s="1135"/>
      <c r="Q226" s="1136"/>
      <c r="R226" s="1137"/>
      <c r="S226" s="1138"/>
      <c r="T226" s="1139"/>
      <c r="U226" s="1131"/>
      <c r="V226" s="1139"/>
      <c r="W226" s="1140"/>
      <c r="X226" s="1122"/>
      <c r="Y226" s="1141" t="s">
        <v>1289</v>
      </c>
      <c r="Z226" s="1142">
        <v>13</v>
      </c>
      <c r="AA226" s="1137">
        <v>0.15</v>
      </c>
      <c r="AB226" s="1138">
        <f>($G$19)/AA226+1</f>
        <v>2</v>
      </c>
      <c r="AC226" s="1139">
        <v>2.11</v>
      </c>
      <c r="AD226" s="1131">
        <v>2</v>
      </c>
      <c r="AE226" s="1139">
        <f>6*Z226/1000</f>
        <v>7.8E-2</v>
      </c>
      <c r="AF226" s="1131">
        <v>2</v>
      </c>
      <c r="AG226" s="1143">
        <f t="shared" si="181"/>
        <v>1.04</v>
      </c>
      <c r="AH226" s="1140">
        <v>1</v>
      </c>
      <c r="AI226" s="1122">
        <f t="shared" si="185"/>
        <v>69.536000000000001</v>
      </c>
      <c r="AJ226" s="1144">
        <f t="shared" si="182"/>
        <v>0</v>
      </c>
      <c r="AK226" s="1145">
        <f t="shared" si="183"/>
        <v>72.468101333333337</v>
      </c>
      <c r="AL226" s="1146">
        <f t="shared" si="184"/>
        <v>0</v>
      </c>
    </row>
    <row r="227" spans="1:38" ht="18.75">
      <c r="A227" s="1126"/>
      <c r="B227" s="1127"/>
      <c r="C227" s="1128"/>
      <c r="D227" s="1127"/>
      <c r="E227" s="1127"/>
      <c r="F227" s="1129"/>
      <c r="G227" s="1129"/>
      <c r="H227" s="1129"/>
      <c r="I227" s="1130"/>
      <c r="J227" s="1131"/>
      <c r="K227" s="1132"/>
      <c r="L227" s="1133"/>
      <c r="M227" s="1127" t="s">
        <v>1290</v>
      </c>
      <c r="N227" s="1134"/>
      <c r="O227" s="1094"/>
      <c r="P227" s="1135"/>
      <c r="Q227" s="1136"/>
      <c r="R227" s="1137"/>
      <c r="S227" s="1138"/>
      <c r="T227" s="1139"/>
      <c r="U227" s="1131"/>
      <c r="V227" s="1139"/>
      <c r="W227" s="1140"/>
      <c r="X227" s="1145"/>
      <c r="Y227" s="1184" t="s">
        <v>1294</v>
      </c>
      <c r="Z227" s="1137">
        <v>13</v>
      </c>
      <c r="AA227" s="1137">
        <v>0.15</v>
      </c>
      <c r="AB227" s="1138">
        <f>($G$19)/AA227+1</f>
        <v>2</v>
      </c>
      <c r="AC227" s="1139">
        <v>0.71</v>
      </c>
      <c r="AD227" s="1131">
        <v>2</v>
      </c>
      <c r="AE227" s="1139">
        <f t="shared" ref="AE227:AE228" si="186">6*Z227/1000</f>
        <v>7.8E-2</v>
      </c>
      <c r="AF227" s="1131">
        <v>2</v>
      </c>
      <c r="AG227" s="1143">
        <f t="shared" si="181"/>
        <v>1.04</v>
      </c>
      <c r="AH227" s="1140">
        <v>2</v>
      </c>
      <c r="AI227" s="1122">
        <f>$J$11*((((AC227)+(AE227*AD227)+(AG227*AF227))*AH227)*AB227)</f>
        <v>94.272000000000006</v>
      </c>
      <c r="AJ227" s="1144">
        <f t="shared" si="182"/>
        <v>0</v>
      </c>
      <c r="AK227" s="1145">
        <f t="shared" si="183"/>
        <v>98.247136000000012</v>
      </c>
      <c r="AL227" s="1146">
        <f t="shared" si="184"/>
        <v>0</v>
      </c>
    </row>
    <row r="228" spans="1:38" ht="18.75">
      <c r="A228" s="1126"/>
      <c r="B228" s="1127"/>
      <c r="C228" s="1128"/>
      <c r="D228" s="1127"/>
      <c r="E228" s="1127"/>
      <c r="F228" s="1129"/>
      <c r="G228" s="1129"/>
      <c r="H228" s="1129"/>
      <c r="I228" s="1130"/>
      <c r="J228" s="1131"/>
      <c r="K228" s="1132"/>
      <c r="L228" s="1133"/>
      <c r="M228" s="1127" t="s">
        <v>1292</v>
      </c>
      <c r="N228" s="1134">
        <f>I225*(F225*H225)</f>
        <v>4.08</v>
      </c>
      <c r="O228" s="1094"/>
      <c r="P228" s="1135"/>
      <c r="Q228" s="1136"/>
      <c r="R228" s="1137"/>
      <c r="S228" s="1138"/>
      <c r="T228" s="1139"/>
      <c r="U228" s="1131"/>
      <c r="V228" s="1139"/>
      <c r="W228" s="1140"/>
      <c r="X228" s="1122"/>
      <c r="Y228" s="1141" t="s">
        <v>1291</v>
      </c>
      <c r="Z228" s="1142">
        <v>8</v>
      </c>
      <c r="AA228" s="1137">
        <v>0.15</v>
      </c>
      <c r="AB228" s="1138">
        <f>(H225)/AA228+1</f>
        <v>19.133333333333336</v>
      </c>
      <c r="AC228" s="1139">
        <f>(F225+0.3)-0.06</f>
        <v>1.74</v>
      </c>
      <c r="AD228" s="1131">
        <v>2</v>
      </c>
      <c r="AE228" s="1139">
        <f t="shared" si="186"/>
        <v>4.8000000000000001E-2</v>
      </c>
      <c r="AF228" s="1131">
        <v>0</v>
      </c>
      <c r="AG228" s="1143">
        <f t="shared" si="181"/>
        <v>0</v>
      </c>
      <c r="AH228" s="1140">
        <v>2</v>
      </c>
      <c r="AI228" s="1122">
        <f>$J$11*((((AC228)+(AE228*AD228)+(AG228*AF228))*AH228)*AB228)</f>
        <v>562.06080000000009</v>
      </c>
      <c r="AJ228" s="1144">
        <f t="shared" si="182"/>
        <v>0</v>
      </c>
      <c r="AK228" s="1145">
        <f t="shared" si="183"/>
        <v>0</v>
      </c>
      <c r="AL228" s="1146">
        <f t="shared" si="184"/>
        <v>0</v>
      </c>
    </row>
    <row r="229" spans="1:38" ht="19.5" thickBot="1">
      <c r="A229" s="1126"/>
      <c r="B229" s="1127"/>
      <c r="C229" s="1128"/>
      <c r="D229" s="1127"/>
      <c r="E229" s="1127"/>
      <c r="F229" s="1129"/>
      <c r="G229" s="1129"/>
      <c r="H229" s="1129"/>
      <c r="I229" s="1130"/>
      <c r="J229" s="1131"/>
      <c r="K229" s="1132"/>
      <c r="L229" s="1133"/>
      <c r="M229" s="1127"/>
      <c r="N229" s="1134"/>
      <c r="O229" s="1094"/>
      <c r="P229" s="1135"/>
      <c r="Q229" s="1136"/>
      <c r="R229" s="1137"/>
      <c r="S229" s="1138"/>
      <c r="T229" s="1139"/>
      <c r="U229" s="1131"/>
      <c r="V229" s="1139"/>
      <c r="W229" s="1140"/>
      <c r="X229" s="1122"/>
      <c r="Y229" s="1141"/>
      <c r="Z229" s="1142"/>
      <c r="AA229" s="1137"/>
      <c r="AB229" s="1138"/>
      <c r="AC229" s="1139"/>
      <c r="AD229" s="1131"/>
      <c r="AE229" s="1139"/>
      <c r="AF229" s="1131"/>
      <c r="AG229" s="1139"/>
      <c r="AH229" s="1140"/>
      <c r="AI229" s="1122"/>
      <c r="AJ229" s="1144">
        <f t="shared" si="182"/>
        <v>0</v>
      </c>
      <c r="AK229" s="1145">
        <f t="shared" si="183"/>
        <v>0</v>
      </c>
      <c r="AL229" s="1146">
        <f t="shared" si="184"/>
        <v>0</v>
      </c>
    </row>
    <row r="230" spans="1:38" ht="20.25" thickTop="1" thickBot="1">
      <c r="A230" s="1188"/>
      <c r="B230" s="1189"/>
      <c r="C230" s="1190"/>
      <c r="D230" s="1189"/>
      <c r="E230" s="1191" t="s">
        <v>468</v>
      </c>
      <c r="F230" s="1192"/>
      <c r="G230" s="1192"/>
      <c r="H230" s="1192"/>
      <c r="I230" s="1192"/>
      <c r="J230" s="1192"/>
      <c r="K230" s="1193"/>
      <c r="L230" s="1194">
        <f>SUM(L209:L229)</f>
        <v>3.5158499999999995</v>
      </c>
      <c r="M230" s="1189"/>
      <c r="N230" s="1194">
        <f>SUM(N209:N229)</f>
        <v>23.439</v>
      </c>
      <c r="O230" s="1195"/>
      <c r="P230" s="1196"/>
      <c r="Q230" s="1188"/>
      <c r="R230" s="1197"/>
      <c r="S230" s="1198"/>
      <c r="T230" s="1199"/>
      <c r="U230" s="1200"/>
      <c r="V230" s="1199"/>
      <c r="W230" s="1201"/>
      <c r="X230" s="1202"/>
      <c r="Y230" s="1203"/>
      <c r="Z230" s="1204"/>
      <c r="AA230" s="1197"/>
      <c r="AB230" s="1198"/>
      <c r="AC230" s="1199"/>
      <c r="AD230" s="1200"/>
      <c r="AE230" s="1199"/>
      <c r="AF230" s="1200"/>
      <c r="AG230" s="1199"/>
      <c r="AH230" s="1201"/>
      <c r="AI230" s="1202"/>
      <c r="AJ230" s="1205">
        <f>SUM(AJ209:AJ229)</f>
        <v>0</v>
      </c>
      <c r="AK230" s="1205">
        <f t="shared" ref="AK230:AL230" si="187">SUM(AK209:AK229)</f>
        <v>1195.4068533333334</v>
      </c>
      <c r="AL230" s="1206">
        <f t="shared" si="187"/>
        <v>0</v>
      </c>
    </row>
    <row r="231" spans="1:38" ht="19.5" thickTop="1">
      <c r="A231" s="1104">
        <v>1</v>
      </c>
      <c r="B231" s="1105" t="s">
        <v>1277</v>
      </c>
      <c r="C231" s="1106" t="s">
        <v>1298</v>
      </c>
      <c r="D231" s="1105">
        <v>1</v>
      </c>
      <c r="E231" s="1105" t="s">
        <v>1279</v>
      </c>
      <c r="F231" s="1107">
        <v>0.3</v>
      </c>
      <c r="G231" s="1107">
        <v>0.16</v>
      </c>
      <c r="H231" s="1107">
        <v>1.5</v>
      </c>
      <c r="I231" s="1108">
        <v>1</v>
      </c>
      <c r="J231" s="1109">
        <v>8</v>
      </c>
      <c r="K231" s="1110"/>
      <c r="L231" s="1111">
        <f>I231*(((F231*G231*H231)/2)*J231)</f>
        <v>0.28800000000000003</v>
      </c>
      <c r="M231" s="1105" t="s">
        <v>1280</v>
      </c>
      <c r="N231" s="1112">
        <f>I231*(G231*H231*J231)</f>
        <v>1.92</v>
      </c>
      <c r="O231" s="1113"/>
      <c r="P231" s="1182" t="s">
        <v>1281</v>
      </c>
      <c r="Q231" s="1136">
        <v>8</v>
      </c>
      <c r="R231" s="1137"/>
      <c r="S231" s="1138">
        <v>1</v>
      </c>
      <c r="T231" s="1139">
        <f>(H231+0.4)-0.06</f>
        <v>1.8399999999999999</v>
      </c>
      <c r="U231" s="1131">
        <v>2</v>
      </c>
      <c r="V231" s="1139">
        <f>6*Q231/1000</f>
        <v>4.8000000000000001E-2</v>
      </c>
      <c r="W231" s="1140">
        <v>8</v>
      </c>
      <c r="X231" s="1122">
        <f>I231*((((T231)+(V231*U231)*S231)*W231))</f>
        <v>15.488</v>
      </c>
      <c r="Y231" s="1183" t="s">
        <v>1282</v>
      </c>
      <c r="Z231" s="1142">
        <v>13</v>
      </c>
      <c r="AA231" s="1137">
        <v>0.15</v>
      </c>
      <c r="AB231" s="1138">
        <f>($G$19)/AA231+1</f>
        <v>2</v>
      </c>
      <c r="AC231" s="1139">
        <v>3.77</v>
      </c>
      <c r="AD231" s="1131">
        <v>2</v>
      </c>
      <c r="AE231" s="1139">
        <f>6*Z231/1000</f>
        <v>7.8E-2</v>
      </c>
      <c r="AF231" s="1131">
        <v>2</v>
      </c>
      <c r="AG231" s="1143">
        <f t="shared" ref="AG231:AG235" si="188">(40*Z231/1000)*AF231</f>
        <v>1.04</v>
      </c>
      <c r="AH231" s="1140">
        <v>1</v>
      </c>
      <c r="AI231" s="1122">
        <f>$J$11*((((AC231)+(AE231*AD231)+(AG231*AF231))*AH231)*AB231)</f>
        <v>96.096000000000004</v>
      </c>
      <c r="AJ231" s="1123">
        <f t="shared" ref="AJ231:AJ236" si="189">((IF(Q231=$AK$7,X231,0)+(IF(Z231=$AK$7,AI231,0))))*$AK$9</f>
        <v>0</v>
      </c>
      <c r="AK231" s="1124">
        <f t="shared" ref="AK231:AK236" si="190">((IF(Q231=$AL$7,X231,0)+(IF(Z231=$AL$7,AI231,0))))*$AL$9</f>
        <v>100.148048</v>
      </c>
      <c r="AL231" s="1125">
        <f>((IF(Q231=$AM$7,X231,0)+(IF(Z231=$AM$7,AI231,0))))*$AM$9</f>
        <v>0</v>
      </c>
    </row>
    <row r="232" spans="1:38" ht="18.75">
      <c r="A232" s="1126"/>
      <c r="B232" s="1127"/>
      <c r="C232" s="1128"/>
      <c r="D232" s="1127"/>
      <c r="E232" s="1127" t="s">
        <v>1283</v>
      </c>
      <c r="F232" s="1129">
        <v>1.5</v>
      </c>
      <c r="G232" s="1129">
        <v>0.15</v>
      </c>
      <c r="H232" s="1129">
        <v>2.4</v>
      </c>
      <c r="I232" s="1130">
        <v>1</v>
      </c>
      <c r="J232" s="1131"/>
      <c r="K232" s="1132"/>
      <c r="L232" s="1133">
        <f>I232*(F232*G232*H232)</f>
        <v>0.53999999999999992</v>
      </c>
      <c r="M232" s="1127" t="s">
        <v>1284</v>
      </c>
      <c r="N232" s="1134"/>
      <c r="O232" s="1094"/>
      <c r="P232" s="1135" t="s">
        <v>1285</v>
      </c>
      <c r="Q232" s="1136">
        <v>8</v>
      </c>
      <c r="R232" s="1137">
        <v>0.2</v>
      </c>
      <c r="S232" s="1138">
        <f>(H231/R232+1)</f>
        <v>8.5</v>
      </c>
      <c r="T232" s="1139">
        <f>(F231+G231+0.3)-(0.03*2)</f>
        <v>0.7</v>
      </c>
      <c r="U232" s="1131">
        <v>2</v>
      </c>
      <c r="V232" s="1139">
        <f>6*Q232/1000</f>
        <v>4.8000000000000001E-2</v>
      </c>
      <c r="W232" s="1140">
        <v>8</v>
      </c>
      <c r="X232" s="1122">
        <f>I231*(((((T232)+(V232*U232))*S232)*W232))</f>
        <v>54.127999999999993</v>
      </c>
      <c r="Y232" s="1141" t="s">
        <v>1286</v>
      </c>
      <c r="Z232" s="1142">
        <v>13</v>
      </c>
      <c r="AA232" s="1137">
        <v>0.15</v>
      </c>
      <c r="AB232" s="1138">
        <f>($G$19)/AA232+1</f>
        <v>2</v>
      </c>
      <c r="AC232" s="1139">
        <v>4.12</v>
      </c>
      <c r="AD232" s="1131">
        <v>2</v>
      </c>
      <c r="AE232" s="1139">
        <f>6*Z232/1000</f>
        <v>7.8E-2</v>
      </c>
      <c r="AF232" s="1131">
        <v>2</v>
      </c>
      <c r="AG232" s="1143">
        <f t="shared" si="188"/>
        <v>1.04</v>
      </c>
      <c r="AH232" s="1140">
        <v>1</v>
      </c>
      <c r="AI232" s="1122">
        <f t="shared" ref="AI232:AI233" si="191">$J$11*((((AC232)+(AE232*AD232)+(AG232*AF232))*AH232)*AB232)</f>
        <v>101.696</v>
      </c>
      <c r="AJ232" s="1144">
        <f t="shared" si="189"/>
        <v>0</v>
      </c>
      <c r="AK232" s="1145">
        <f t="shared" si="190"/>
        <v>105.98418133333334</v>
      </c>
      <c r="AL232" s="1146">
        <f t="shared" ref="AL232:AL243" si="192">((IF(Q232=$AM$7,X232,0)+(IF(Z232=$AM$7,AI232,0))))*$AM$9</f>
        <v>0</v>
      </c>
    </row>
    <row r="233" spans="1:38" ht="18.75">
      <c r="A233" s="1126"/>
      <c r="B233" s="1127"/>
      <c r="C233" s="1128"/>
      <c r="D233" s="1127"/>
      <c r="E233" s="1127" t="s">
        <v>1287</v>
      </c>
      <c r="F233" s="1129">
        <v>1.5</v>
      </c>
      <c r="G233" s="1129">
        <v>0.15</v>
      </c>
      <c r="H233" s="1129">
        <v>1.54</v>
      </c>
      <c r="I233" s="1130">
        <v>1</v>
      </c>
      <c r="J233" s="1131"/>
      <c r="K233" s="1132"/>
      <c r="L233" s="1133">
        <f>I233*(F233*G233*H233)</f>
        <v>0.34649999999999997</v>
      </c>
      <c r="M233" s="1127" t="s">
        <v>1288</v>
      </c>
      <c r="N233" s="1134"/>
      <c r="O233" s="1094"/>
      <c r="P233" s="1135"/>
      <c r="Q233" s="1136"/>
      <c r="R233" s="1137"/>
      <c r="S233" s="1138"/>
      <c r="T233" s="1139"/>
      <c r="U233" s="1131"/>
      <c r="V233" s="1139"/>
      <c r="W233" s="1140"/>
      <c r="X233" s="1122"/>
      <c r="Y233" s="1141" t="s">
        <v>1289</v>
      </c>
      <c r="Z233" s="1142">
        <v>13</v>
      </c>
      <c r="AA233" s="1137">
        <v>0.15</v>
      </c>
      <c r="AB233" s="1138">
        <f>($G$19)/AA233+1</f>
        <v>2</v>
      </c>
      <c r="AC233" s="1139">
        <v>1.37</v>
      </c>
      <c r="AD233" s="1131">
        <v>2</v>
      </c>
      <c r="AE233" s="1139">
        <f>6*Z233/1000</f>
        <v>7.8E-2</v>
      </c>
      <c r="AF233" s="1131">
        <v>2</v>
      </c>
      <c r="AG233" s="1143">
        <f t="shared" si="188"/>
        <v>1.04</v>
      </c>
      <c r="AH233" s="1140">
        <v>1</v>
      </c>
      <c r="AI233" s="1122">
        <f t="shared" si="191"/>
        <v>57.695999999999998</v>
      </c>
      <c r="AJ233" s="1144">
        <f t="shared" si="189"/>
        <v>0</v>
      </c>
      <c r="AK233" s="1145">
        <f t="shared" si="190"/>
        <v>60.128847999999998</v>
      </c>
      <c r="AL233" s="1146">
        <f t="shared" si="192"/>
        <v>0</v>
      </c>
    </row>
    <row r="234" spans="1:38" ht="18.75">
      <c r="A234" s="1126"/>
      <c r="B234" s="1127"/>
      <c r="C234" s="1128"/>
      <c r="D234" s="1127"/>
      <c r="E234" s="1127"/>
      <c r="F234" s="1129"/>
      <c r="G234" s="1129"/>
      <c r="H234" s="1129"/>
      <c r="I234" s="1130"/>
      <c r="J234" s="1131"/>
      <c r="K234" s="1132"/>
      <c r="L234" s="1133"/>
      <c r="M234" s="1127" t="s">
        <v>1290</v>
      </c>
      <c r="N234" s="1134"/>
      <c r="O234" s="1094"/>
      <c r="P234" s="1135"/>
      <c r="Q234" s="1136"/>
      <c r="R234" s="1137"/>
      <c r="S234" s="1138"/>
      <c r="T234" s="1139"/>
      <c r="U234" s="1131"/>
      <c r="V234" s="1139"/>
      <c r="W234" s="1140"/>
      <c r="X234" s="1145"/>
      <c r="Y234" s="1184" t="s">
        <v>1294</v>
      </c>
      <c r="Z234" s="1137">
        <v>13</v>
      </c>
      <c r="AA234" s="1137">
        <v>0.15</v>
      </c>
      <c r="AB234" s="1138">
        <f>($G$19)/AA234+1</f>
        <v>2</v>
      </c>
      <c r="AC234" s="1139">
        <v>1.74</v>
      </c>
      <c r="AD234" s="1131">
        <v>2</v>
      </c>
      <c r="AE234" s="1139">
        <f t="shared" ref="AE234:AE235" si="193">6*Z234/1000</f>
        <v>7.8E-2</v>
      </c>
      <c r="AF234" s="1131">
        <v>2</v>
      </c>
      <c r="AG234" s="1143">
        <f t="shared" si="188"/>
        <v>1.04</v>
      </c>
      <c r="AH234" s="1140">
        <v>2</v>
      </c>
      <c r="AI234" s="1122">
        <f>$J$11*((((AC234)+(AE234*AD234)+(AG234*AF234))*AH234)*AB234)</f>
        <v>127.232</v>
      </c>
      <c r="AJ234" s="1144">
        <f t="shared" si="189"/>
        <v>0</v>
      </c>
      <c r="AK234" s="1145">
        <f t="shared" si="190"/>
        <v>132.59694933333333</v>
      </c>
      <c r="AL234" s="1146">
        <f t="shared" si="192"/>
        <v>0</v>
      </c>
    </row>
    <row r="235" spans="1:38" ht="18.75">
      <c r="A235" s="1126"/>
      <c r="B235" s="1127"/>
      <c r="C235" s="1128"/>
      <c r="D235" s="1127"/>
      <c r="E235" s="1127"/>
      <c r="F235" s="1129"/>
      <c r="G235" s="1129"/>
      <c r="H235" s="1129"/>
      <c r="I235" s="1130"/>
      <c r="J235" s="1131"/>
      <c r="K235" s="1132"/>
      <c r="L235" s="1133"/>
      <c r="M235" s="1127" t="s">
        <v>1292</v>
      </c>
      <c r="N235" s="1134">
        <f>I232*(F232*H232)</f>
        <v>3.5999999999999996</v>
      </c>
      <c r="O235" s="1094"/>
      <c r="P235" s="1135"/>
      <c r="Q235" s="1136"/>
      <c r="R235" s="1137"/>
      <c r="S235" s="1138"/>
      <c r="T235" s="1139"/>
      <c r="U235" s="1131"/>
      <c r="V235" s="1139"/>
      <c r="W235" s="1140"/>
      <c r="X235" s="1122"/>
      <c r="Y235" s="1141" t="s">
        <v>1291</v>
      </c>
      <c r="Z235" s="1142">
        <v>8</v>
      </c>
      <c r="AA235" s="1137">
        <v>0.15</v>
      </c>
      <c r="AB235" s="1138">
        <f>(H232)/AA235+1</f>
        <v>17</v>
      </c>
      <c r="AC235" s="1139">
        <f>(F232+0.3)-0.06</f>
        <v>1.74</v>
      </c>
      <c r="AD235" s="1131">
        <v>2</v>
      </c>
      <c r="AE235" s="1139">
        <f t="shared" si="193"/>
        <v>4.8000000000000001E-2</v>
      </c>
      <c r="AF235" s="1131">
        <v>0</v>
      </c>
      <c r="AG235" s="1143">
        <f t="shared" si="188"/>
        <v>0</v>
      </c>
      <c r="AH235" s="1140">
        <v>2</v>
      </c>
      <c r="AI235" s="1122">
        <f>$J$11*((((AC235)+(AE235*AD235)+(AG235*AF235))*AH235)*AB235)</f>
        <v>499.392</v>
      </c>
      <c r="AJ235" s="1144">
        <f t="shared" si="189"/>
        <v>0</v>
      </c>
      <c r="AK235" s="1145">
        <f t="shared" si="190"/>
        <v>0</v>
      </c>
      <c r="AL235" s="1146">
        <f t="shared" si="192"/>
        <v>0</v>
      </c>
    </row>
    <row r="236" spans="1:38" ht="18.75">
      <c r="A236" s="1147"/>
      <c r="B236" s="1148"/>
      <c r="C236" s="1149"/>
      <c r="D236" s="1148"/>
      <c r="E236" s="1148"/>
      <c r="F236" s="1150"/>
      <c r="G236" s="1150"/>
      <c r="H236" s="1150"/>
      <c r="I236" s="1151"/>
      <c r="J236" s="1152"/>
      <c r="K236" s="1153"/>
      <c r="L236" s="1154"/>
      <c r="M236" s="1148" t="s">
        <v>1293</v>
      </c>
      <c r="N236" s="1155">
        <f>I233*(F233*H233)</f>
        <v>2.31</v>
      </c>
      <c r="O236" s="1094"/>
      <c r="P236" s="1156"/>
      <c r="Q236" s="1157"/>
      <c r="R236" s="1158"/>
      <c r="S236" s="1159"/>
      <c r="T236" s="1160"/>
      <c r="U236" s="1152"/>
      <c r="V236" s="1160"/>
      <c r="W236" s="1161"/>
      <c r="X236" s="1162"/>
      <c r="Y236" s="1163"/>
      <c r="Z236" s="1164"/>
      <c r="AA236" s="1158"/>
      <c r="AB236" s="1159"/>
      <c r="AC236" s="1160"/>
      <c r="AD236" s="1152"/>
      <c r="AE236" s="1160"/>
      <c r="AF236" s="1152"/>
      <c r="AG236" s="1160"/>
      <c r="AH236" s="1161"/>
      <c r="AI236" s="1162"/>
      <c r="AJ236" s="1102">
        <f t="shared" si="189"/>
        <v>0</v>
      </c>
      <c r="AK236" s="1165">
        <f t="shared" si="190"/>
        <v>0</v>
      </c>
      <c r="AL236" s="1146">
        <f t="shared" si="192"/>
        <v>0</v>
      </c>
    </row>
    <row r="237" spans="1:38" ht="18.75">
      <c r="A237" s="1126"/>
      <c r="B237" s="1166"/>
      <c r="C237" s="1167"/>
      <c r="D237" s="1166"/>
      <c r="E237" s="1166"/>
      <c r="F237" s="1168"/>
      <c r="G237" s="1168"/>
      <c r="H237" s="1168"/>
      <c r="I237" s="1130"/>
      <c r="J237" s="1169"/>
      <c r="K237" s="1170"/>
      <c r="L237" s="1171"/>
      <c r="M237" s="1166"/>
      <c r="N237" s="1172"/>
      <c r="O237" s="1173"/>
      <c r="P237" s="1135"/>
      <c r="Q237" s="1126"/>
      <c r="R237" s="1174"/>
      <c r="S237" s="1175"/>
      <c r="T237" s="1143"/>
      <c r="U237" s="1169"/>
      <c r="V237" s="1143"/>
      <c r="W237" s="1176"/>
      <c r="X237" s="1177"/>
      <c r="Y237" s="1141"/>
      <c r="Z237" s="1178"/>
      <c r="AA237" s="1174"/>
      <c r="AB237" s="1175"/>
      <c r="AC237" s="1143"/>
      <c r="AD237" s="1169"/>
      <c r="AE237" s="1143"/>
      <c r="AF237" s="1169"/>
      <c r="AG237" s="1143"/>
      <c r="AH237" s="1176"/>
      <c r="AI237" s="1177"/>
      <c r="AJ237" s="1179"/>
      <c r="AK237" s="1180"/>
      <c r="AL237" s="1146">
        <f t="shared" si="192"/>
        <v>0</v>
      </c>
    </row>
    <row r="238" spans="1:38" ht="18.75">
      <c r="A238" s="1136"/>
      <c r="B238" s="1127"/>
      <c r="C238" s="1128"/>
      <c r="D238" s="1127">
        <v>2</v>
      </c>
      <c r="E238" s="1127" t="s">
        <v>1279</v>
      </c>
      <c r="F238" s="1129">
        <v>0.3</v>
      </c>
      <c r="G238" s="1129">
        <v>0.16</v>
      </c>
      <c r="H238" s="1129">
        <v>1.5</v>
      </c>
      <c r="I238" s="1181">
        <v>1</v>
      </c>
      <c r="J238" s="1131">
        <v>7</v>
      </c>
      <c r="K238" s="1132"/>
      <c r="L238" s="1133">
        <f>I238*(((F238*G238*H238)/2)*J238)</f>
        <v>0.252</v>
      </c>
      <c r="M238" s="1127" t="s">
        <v>1280</v>
      </c>
      <c r="N238" s="1134">
        <f>I238*(G238*H238*J238)</f>
        <v>1.68</v>
      </c>
      <c r="O238" s="1094"/>
      <c r="P238" s="1182" t="s">
        <v>1281</v>
      </c>
      <c r="Q238" s="1136">
        <v>8</v>
      </c>
      <c r="R238" s="1137"/>
      <c r="S238" s="1138">
        <v>1</v>
      </c>
      <c r="T238" s="1139">
        <f>(H238+0.4)-0.06</f>
        <v>1.8399999999999999</v>
      </c>
      <c r="U238" s="1131">
        <v>2</v>
      </c>
      <c r="V238" s="1139">
        <f>6*Q238/1000</f>
        <v>4.8000000000000001E-2</v>
      </c>
      <c r="W238" s="1140">
        <v>9</v>
      </c>
      <c r="X238" s="1122">
        <f>I238*((((T238)+(V238*U238)*S238)*W238))</f>
        <v>17.423999999999999</v>
      </c>
      <c r="Y238" s="1183" t="s">
        <v>1282</v>
      </c>
      <c r="Z238" s="1142">
        <v>13</v>
      </c>
      <c r="AA238" s="1137">
        <v>0.15</v>
      </c>
      <c r="AB238" s="1138">
        <f>($G$19)/AA238+1</f>
        <v>2</v>
      </c>
      <c r="AC238" s="1139">
        <f>1.5+3.06</f>
        <v>4.5600000000000005</v>
      </c>
      <c r="AD238" s="1131">
        <v>2</v>
      </c>
      <c r="AE238" s="1139">
        <f>6*Z238/1000</f>
        <v>7.8E-2</v>
      </c>
      <c r="AF238" s="1131">
        <v>2</v>
      </c>
      <c r="AG238" s="1143">
        <f t="shared" ref="AG238:AG242" si="194">(40*Z238/1000)*AF238</f>
        <v>1.04</v>
      </c>
      <c r="AH238" s="1140">
        <v>1</v>
      </c>
      <c r="AI238" s="1122">
        <f>$J$11*((((AC238)+(AE238*AD238)+(AG238*AF238))*AH238)*AB238)</f>
        <v>108.736</v>
      </c>
      <c r="AJ238" s="1144">
        <f t="shared" ref="AJ238:AJ243" si="195">((IF(Q238=$AK$7,X238,0)+(IF(Z238=$AK$7,AI238,0))))*$AK$9</f>
        <v>0</v>
      </c>
      <c r="AK238" s="1145">
        <f t="shared" ref="AK238:AK243" si="196">((IF(Q238=$AL$7,X238,0)+(IF(Z238=$AL$7,AI238,0))))*$AL$9</f>
        <v>113.32103466666668</v>
      </c>
      <c r="AL238" s="1146">
        <f t="shared" si="192"/>
        <v>0</v>
      </c>
    </row>
    <row r="239" spans="1:38" ht="18.75">
      <c r="A239" s="1126"/>
      <c r="B239" s="1127"/>
      <c r="C239" s="1128"/>
      <c r="D239" s="1127"/>
      <c r="E239" s="1127" t="s">
        <v>1283</v>
      </c>
      <c r="F239" s="1129">
        <v>1.5</v>
      </c>
      <c r="G239" s="1129">
        <v>0.15</v>
      </c>
      <c r="H239" s="1129">
        <v>2.38</v>
      </c>
      <c r="I239" s="1130">
        <v>1</v>
      </c>
      <c r="J239" s="1131"/>
      <c r="K239" s="1132"/>
      <c r="L239" s="1133">
        <f>I239*(F239*G239*H239)</f>
        <v>0.53549999999999998</v>
      </c>
      <c r="M239" s="1127" t="s">
        <v>1284</v>
      </c>
      <c r="N239" s="1134"/>
      <c r="O239" s="1094"/>
      <c r="P239" s="1135" t="s">
        <v>1285</v>
      </c>
      <c r="Q239" s="1136">
        <v>8</v>
      </c>
      <c r="R239" s="1137">
        <v>0.2</v>
      </c>
      <c r="S239" s="1138">
        <f>(H238/R239+1)</f>
        <v>8.5</v>
      </c>
      <c r="T239" s="1139">
        <f>(F238+G238+0.3)-(0.03*2)</f>
        <v>0.7</v>
      </c>
      <c r="U239" s="1131">
        <v>2</v>
      </c>
      <c r="V239" s="1139">
        <f>6*Q239/1000</f>
        <v>4.8000000000000001E-2</v>
      </c>
      <c r="W239" s="1140">
        <v>9</v>
      </c>
      <c r="X239" s="1122">
        <f>I238*(((((T239)+(V239*U239))*S239)*W239))</f>
        <v>60.893999999999991</v>
      </c>
      <c r="Y239" s="1141" t="s">
        <v>1286</v>
      </c>
      <c r="Z239" s="1142">
        <v>13</v>
      </c>
      <c r="AA239" s="1137">
        <v>0.15</v>
      </c>
      <c r="AB239" s="1138">
        <f>($G$19)/AA239+1</f>
        <v>2</v>
      </c>
      <c r="AC239" s="1139">
        <f>1.5+3.06</f>
        <v>4.5600000000000005</v>
      </c>
      <c r="AD239" s="1131">
        <v>2</v>
      </c>
      <c r="AE239" s="1139">
        <f>6*Z239/1000</f>
        <v>7.8E-2</v>
      </c>
      <c r="AF239" s="1131">
        <v>2</v>
      </c>
      <c r="AG239" s="1143">
        <f t="shared" si="194"/>
        <v>1.04</v>
      </c>
      <c r="AH239" s="1140">
        <v>1</v>
      </c>
      <c r="AI239" s="1122">
        <f t="shared" ref="AI239:AI240" si="197">$J$11*((((AC239)+(AE239*AD239)+(AG239*AF239))*AH239)*AB239)</f>
        <v>108.736</v>
      </c>
      <c r="AJ239" s="1144">
        <f t="shared" si="195"/>
        <v>0</v>
      </c>
      <c r="AK239" s="1145">
        <f t="shared" si="196"/>
        <v>113.32103466666668</v>
      </c>
      <c r="AL239" s="1146">
        <f t="shared" si="192"/>
        <v>0</v>
      </c>
    </row>
    <row r="240" spans="1:38" ht="18.75">
      <c r="A240" s="1126"/>
      <c r="B240" s="1127"/>
      <c r="C240" s="1128"/>
      <c r="D240" s="1127"/>
      <c r="E240" s="1127" t="s">
        <v>1287</v>
      </c>
      <c r="F240" s="1129">
        <v>1.5</v>
      </c>
      <c r="G240" s="1129">
        <v>0.15</v>
      </c>
      <c r="H240" s="1129">
        <v>2.11</v>
      </c>
      <c r="I240" s="1130">
        <v>1</v>
      </c>
      <c r="J240" s="1131"/>
      <c r="K240" s="1132"/>
      <c r="L240" s="1133">
        <f>I240*(F240*G240*H240)</f>
        <v>0.47474999999999995</v>
      </c>
      <c r="M240" s="1127" t="s">
        <v>1288</v>
      </c>
      <c r="N240" s="1134"/>
      <c r="O240" s="1094"/>
      <c r="P240" s="1135"/>
      <c r="Q240" s="1136"/>
      <c r="R240" s="1137"/>
      <c r="S240" s="1138"/>
      <c r="T240" s="1139"/>
      <c r="U240" s="1131"/>
      <c r="V240" s="1139"/>
      <c r="W240" s="1140"/>
      <c r="X240" s="1122"/>
      <c r="Y240" s="1141" t="s">
        <v>1289</v>
      </c>
      <c r="Z240" s="1142">
        <v>13</v>
      </c>
      <c r="AA240" s="1137">
        <v>0.15</v>
      </c>
      <c r="AB240" s="1138">
        <f>($G$19)/AA240+1</f>
        <v>2</v>
      </c>
      <c r="AC240" s="1139">
        <v>1.5</v>
      </c>
      <c r="AD240" s="1131">
        <v>2</v>
      </c>
      <c r="AE240" s="1139">
        <f>6*Z240/1000</f>
        <v>7.8E-2</v>
      </c>
      <c r="AF240" s="1131">
        <v>2</v>
      </c>
      <c r="AG240" s="1143">
        <f t="shared" si="194"/>
        <v>1.04</v>
      </c>
      <c r="AH240" s="1140">
        <v>1</v>
      </c>
      <c r="AI240" s="1122">
        <f t="shared" si="197"/>
        <v>59.775999999999996</v>
      </c>
      <c r="AJ240" s="1144">
        <f t="shared" si="195"/>
        <v>0</v>
      </c>
      <c r="AK240" s="1145">
        <f t="shared" si="196"/>
        <v>62.296554666666665</v>
      </c>
      <c r="AL240" s="1146">
        <f t="shared" si="192"/>
        <v>0</v>
      </c>
    </row>
    <row r="241" spans="1:38" ht="18.75">
      <c r="A241" s="1126"/>
      <c r="B241" s="1127"/>
      <c r="C241" s="1128"/>
      <c r="D241" s="1127"/>
      <c r="E241" s="1127"/>
      <c r="F241" s="1129"/>
      <c r="G241" s="1129"/>
      <c r="H241" s="1129"/>
      <c r="I241" s="1130"/>
      <c r="J241" s="1131"/>
      <c r="K241" s="1132"/>
      <c r="L241" s="1133"/>
      <c r="M241" s="1127" t="s">
        <v>1290</v>
      </c>
      <c r="N241" s="1134"/>
      <c r="O241" s="1094"/>
      <c r="P241" s="1135"/>
      <c r="Q241" s="1136"/>
      <c r="R241" s="1137"/>
      <c r="S241" s="1138"/>
      <c r="T241" s="1139"/>
      <c r="U241" s="1131"/>
      <c r="V241" s="1139"/>
      <c r="W241" s="1140"/>
      <c r="X241" s="1145"/>
      <c r="Y241" s="1184" t="s">
        <v>1294</v>
      </c>
      <c r="Z241" s="1137">
        <v>13</v>
      </c>
      <c r="AA241" s="1137">
        <v>0.15</v>
      </c>
      <c r="AB241" s="1138">
        <f>($G$19)/AA241+1</f>
        <v>2</v>
      </c>
      <c r="AC241" s="1139">
        <v>1.5</v>
      </c>
      <c r="AD241" s="1131">
        <v>2</v>
      </c>
      <c r="AE241" s="1139">
        <f t="shared" ref="AE241:AE242" si="198">6*Z241/1000</f>
        <v>7.8E-2</v>
      </c>
      <c r="AF241" s="1131">
        <v>2</v>
      </c>
      <c r="AG241" s="1143">
        <f t="shared" si="194"/>
        <v>1.04</v>
      </c>
      <c r="AH241" s="1140">
        <v>2</v>
      </c>
      <c r="AI241" s="1122">
        <f>$J$11*((((AC241)+(AE241*AD241)+(AG241*AF241))*AH241)*AB241)</f>
        <v>119.55199999999999</v>
      </c>
      <c r="AJ241" s="1144">
        <f t="shared" si="195"/>
        <v>0</v>
      </c>
      <c r="AK241" s="1145">
        <f t="shared" si="196"/>
        <v>124.59310933333333</v>
      </c>
      <c r="AL241" s="1146">
        <f t="shared" si="192"/>
        <v>0</v>
      </c>
    </row>
    <row r="242" spans="1:38" ht="18.75">
      <c r="A242" s="1126"/>
      <c r="B242" s="1127"/>
      <c r="C242" s="1128"/>
      <c r="D242" s="1127"/>
      <c r="E242" s="1127"/>
      <c r="F242" s="1129"/>
      <c r="G242" s="1129"/>
      <c r="H242" s="1129"/>
      <c r="I242" s="1130"/>
      <c r="J242" s="1131"/>
      <c r="K242" s="1132"/>
      <c r="L242" s="1133"/>
      <c r="M242" s="1127" t="s">
        <v>1292</v>
      </c>
      <c r="N242" s="1134">
        <f>I239*(F239*H239)</f>
        <v>3.57</v>
      </c>
      <c r="O242" s="1094"/>
      <c r="P242" s="1135"/>
      <c r="Q242" s="1136"/>
      <c r="R242" s="1137"/>
      <c r="S242" s="1138"/>
      <c r="T242" s="1139"/>
      <c r="U242" s="1131"/>
      <c r="V242" s="1139"/>
      <c r="W242" s="1140"/>
      <c r="X242" s="1122"/>
      <c r="Y242" s="1141" t="s">
        <v>1291</v>
      </c>
      <c r="Z242" s="1142">
        <v>8</v>
      </c>
      <c r="AA242" s="1137">
        <v>0.15</v>
      </c>
      <c r="AB242" s="1138">
        <f>(H239)/AA242+1</f>
        <v>16.866666666666667</v>
      </c>
      <c r="AC242" s="1139">
        <f>(F239+0.3)-0.06</f>
        <v>1.74</v>
      </c>
      <c r="AD242" s="1131">
        <v>2</v>
      </c>
      <c r="AE242" s="1139">
        <f t="shared" si="198"/>
        <v>4.8000000000000001E-2</v>
      </c>
      <c r="AF242" s="1131">
        <v>0</v>
      </c>
      <c r="AG242" s="1143">
        <f t="shared" si="194"/>
        <v>0</v>
      </c>
      <c r="AH242" s="1140">
        <v>2</v>
      </c>
      <c r="AI242" s="1122">
        <f>$J$11*((((AC242)+(AE242*AD242)+(AG242*AF242))*AH242)*AB242)</f>
        <v>495.47520000000003</v>
      </c>
      <c r="AJ242" s="1144">
        <f t="shared" si="195"/>
        <v>0</v>
      </c>
      <c r="AK242" s="1145">
        <f t="shared" si="196"/>
        <v>0</v>
      </c>
      <c r="AL242" s="1146">
        <f t="shared" si="192"/>
        <v>0</v>
      </c>
    </row>
    <row r="243" spans="1:38" ht="18.75">
      <c r="A243" s="1126"/>
      <c r="B243" s="1127"/>
      <c r="C243" s="1128"/>
      <c r="D243" s="1127"/>
      <c r="E243" s="1127"/>
      <c r="F243" s="1129"/>
      <c r="G243" s="1129"/>
      <c r="H243" s="1129"/>
      <c r="I243" s="1130"/>
      <c r="J243" s="1131"/>
      <c r="K243" s="1132"/>
      <c r="L243" s="1133"/>
      <c r="M243" s="1127" t="s">
        <v>1293</v>
      </c>
      <c r="N243" s="1134">
        <f>I240*(F240*H240)</f>
        <v>3.165</v>
      </c>
      <c r="O243" s="1094"/>
      <c r="P243" s="1135"/>
      <c r="Q243" s="1136"/>
      <c r="R243" s="1137"/>
      <c r="S243" s="1138"/>
      <c r="T243" s="1139"/>
      <c r="U243" s="1131"/>
      <c r="V243" s="1139"/>
      <c r="W243" s="1140"/>
      <c r="X243" s="1122"/>
      <c r="Y243" s="1141"/>
      <c r="Z243" s="1142"/>
      <c r="AA243" s="1137"/>
      <c r="AB243" s="1138"/>
      <c r="AC243" s="1139"/>
      <c r="AD243" s="1131"/>
      <c r="AE243" s="1139"/>
      <c r="AF243" s="1131"/>
      <c r="AG243" s="1139"/>
      <c r="AH243" s="1140"/>
      <c r="AI243" s="1122"/>
      <c r="AJ243" s="1144">
        <f t="shared" si="195"/>
        <v>0</v>
      </c>
      <c r="AK243" s="1145">
        <f t="shared" si="196"/>
        <v>0</v>
      </c>
      <c r="AL243" s="1146">
        <f t="shared" si="192"/>
        <v>0</v>
      </c>
    </row>
    <row r="244" spans="1:38" ht="18.75">
      <c r="A244" s="1126"/>
      <c r="B244" s="1127"/>
      <c r="C244" s="1128"/>
      <c r="D244" s="1127"/>
      <c r="E244" s="1127"/>
      <c r="F244" s="1168"/>
      <c r="G244" s="1168"/>
      <c r="H244" s="1168"/>
      <c r="I244" s="1130"/>
      <c r="J244" s="1169"/>
      <c r="K244" s="1132"/>
      <c r="L244" s="1133"/>
      <c r="M244" s="1127"/>
      <c r="N244" s="1134"/>
      <c r="O244" s="1094"/>
      <c r="P244" s="1135"/>
      <c r="Q244" s="1136"/>
      <c r="R244" s="1137"/>
      <c r="S244" s="1138"/>
      <c r="T244" s="1139"/>
      <c r="U244" s="1131"/>
      <c r="V244" s="1139"/>
      <c r="W244" s="1140"/>
      <c r="X244" s="1122"/>
      <c r="Y244" s="1141"/>
      <c r="Z244" s="1142"/>
      <c r="AA244" s="1137"/>
      <c r="AB244" s="1138"/>
      <c r="AC244" s="1139"/>
      <c r="AD244" s="1131"/>
      <c r="AE244" s="1139"/>
      <c r="AF244" s="1131"/>
      <c r="AG244" s="1139"/>
      <c r="AH244" s="1140"/>
      <c r="AI244" s="1122"/>
      <c r="AJ244" s="1144"/>
      <c r="AK244" s="1145"/>
      <c r="AL244" s="1146"/>
    </row>
    <row r="245" spans="1:38" ht="18.75">
      <c r="A245" s="1136"/>
      <c r="B245" s="1127"/>
      <c r="C245" s="1128"/>
      <c r="D245" s="1127">
        <v>3</v>
      </c>
      <c r="E245" s="1127" t="s">
        <v>1279</v>
      </c>
      <c r="F245" s="1129">
        <v>0.3</v>
      </c>
      <c r="G245" s="1129">
        <v>0.16</v>
      </c>
      <c r="H245" s="1129">
        <v>1.5</v>
      </c>
      <c r="I245" s="1181">
        <v>1</v>
      </c>
      <c r="J245" s="1131">
        <v>5</v>
      </c>
      <c r="K245" s="1132"/>
      <c r="L245" s="1133">
        <f>I245*(((F245*G245*H245)/2)*J245)</f>
        <v>0.18000000000000002</v>
      </c>
      <c r="M245" s="1127" t="s">
        <v>1280</v>
      </c>
      <c r="N245" s="1134">
        <f>I245*(G245*H245*J245)</f>
        <v>1.2</v>
      </c>
      <c r="O245" s="1094"/>
      <c r="P245" s="1182" t="s">
        <v>1281</v>
      </c>
      <c r="Q245" s="1136">
        <v>8</v>
      </c>
      <c r="R245" s="1137"/>
      <c r="S245" s="1138">
        <v>1</v>
      </c>
      <c r="T245" s="1139">
        <f>(H245+0.4)-0.06</f>
        <v>1.8399999999999999</v>
      </c>
      <c r="U245" s="1131">
        <v>2</v>
      </c>
      <c r="V245" s="1139">
        <f>6*Q245/1000</f>
        <v>4.8000000000000001E-2</v>
      </c>
      <c r="W245" s="1140">
        <v>8</v>
      </c>
      <c r="X245" s="1122">
        <f>I245*((((T245)+(V245*U245)*S245)*W245))</f>
        <v>15.488</v>
      </c>
      <c r="Y245" s="1183" t="s">
        <v>1282</v>
      </c>
      <c r="Z245" s="1142">
        <v>13</v>
      </c>
      <c r="AA245" s="1137">
        <v>0.15</v>
      </c>
      <c r="AB245" s="1138">
        <f>($G$19)/AA245+1</f>
        <v>2</v>
      </c>
      <c r="AC245" s="1139">
        <v>4.83</v>
      </c>
      <c r="AD245" s="1131">
        <v>2</v>
      </c>
      <c r="AE245" s="1139">
        <f>6*Z245/1000</f>
        <v>7.8E-2</v>
      </c>
      <c r="AF245" s="1131">
        <v>2</v>
      </c>
      <c r="AG245" s="1143">
        <f t="shared" ref="AG245:AG249" si="199">(40*Z245/1000)*AF245</f>
        <v>1.04</v>
      </c>
      <c r="AH245" s="1140">
        <v>1</v>
      </c>
      <c r="AI245" s="1122">
        <f>$J$11*((((AC245)+(AE245*AD245)+(AG245*AF245))*AH245)*AB245)</f>
        <v>113.056</v>
      </c>
      <c r="AJ245" s="1144">
        <f t="shared" ref="AJ245:AJ250" si="200">((IF(Q245=$AK$7,X245,0)+(IF(Z245=$AK$7,AI245,0))))*$AK$9</f>
        <v>0</v>
      </c>
      <c r="AK245" s="1145">
        <f t="shared" ref="AK245:AK250" si="201">((IF(Q245=$AL$7,X245,0)+(IF(Z245=$AL$7,AI245,0))))*$AL$9</f>
        <v>117.82319466666667</v>
      </c>
      <c r="AL245" s="1146">
        <f t="shared" ref="AL245:AL250" si="202">((IF(Q245=$AM$7,X245,0)+(IF(Z245=$AM$7,AI245,0))))*$AM$9</f>
        <v>0</v>
      </c>
    </row>
    <row r="246" spans="1:38" ht="18.75">
      <c r="A246" s="1126"/>
      <c r="B246" s="1127"/>
      <c r="C246" s="1128"/>
      <c r="D246" s="1127"/>
      <c r="E246" s="1127" t="s">
        <v>1283</v>
      </c>
      <c r="F246" s="1129">
        <v>1.5</v>
      </c>
      <c r="G246" s="1129">
        <v>0.15</v>
      </c>
      <c r="H246" s="1129">
        <v>1.7</v>
      </c>
      <c r="I246" s="1130">
        <v>1</v>
      </c>
      <c r="J246" s="1131"/>
      <c r="K246" s="1132"/>
      <c r="L246" s="1133">
        <f>I246*(F246*G246*H246)</f>
        <v>0.38249999999999995</v>
      </c>
      <c r="M246" s="1127" t="s">
        <v>1284</v>
      </c>
      <c r="N246" s="1134"/>
      <c r="O246" s="1094"/>
      <c r="P246" s="1135" t="s">
        <v>1285</v>
      </c>
      <c r="Q246" s="1136">
        <v>8</v>
      </c>
      <c r="R246" s="1137">
        <v>0.2</v>
      </c>
      <c r="S246" s="1138">
        <f>(H245/R246+1)</f>
        <v>8.5</v>
      </c>
      <c r="T246" s="1139">
        <f>(F245+G245+0.3)-(0.03*2)</f>
        <v>0.7</v>
      </c>
      <c r="U246" s="1131">
        <v>2</v>
      </c>
      <c r="V246" s="1139">
        <f>6*Q246/1000</f>
        <v>4.8000000000000001E-2</v>
      </c>
      <c r="W246" s="1140">
        <v>8</v>
      </c>
      <c r="X246" s="1122">
        <f>I245*(((((T246)+(V246*U246))*S246)*W246))</f>
        <v>54.127999999999993</v>
      </c>
      <c r="Y246" s="1141" t="s">
        <v>1286</v>
      </c>
      <c r="Z246" s="1142">
        <v>13</v>
      </c>
      <c r="AA246" s="1137">
        <v>0.15</v>
      </c>
      <c r="AB246" s="1138">
        <f>($G$19)/AA246+1</f>
        <v>2</v>
      </c>
      <c r="AC246" s="1139">
        <f>0.71+2.72</f>
        <v>3.43</v>
      </c>
      <c r="AD246" s="1131">
        <v>2</v>
      </c>
      <c r="AE246" s="1139">
        <f>6*Z246/1000</f>
        <v>7.8E-2</v>
      </c>
      <c r="AF246" s="1131">
        <v>2</v>
      </c>
      <c r="AG246" s="1143">
        <f t="shared" si="199"/>
        <v>1.04</v>
      </c>
      <c r="AH246" s="1140">
        <v>1</v>
      </c>
      <c r="AI246" s="1122">
        <f t="shared" ref="AI246:AI247" si="203">$J$11*((((AC246)+(AE246*AD246)+(AG246*AF246))*AH246)*AB246)</f>
        <v>90.656000000000006</v>
      </c>
      <c r="AJ246" s="1144">
        <f t="shared" si="200"/>
        <v>0</v>
      </c>
      <c r="AK246" s="1145">
        <f t="shared" si="201"/>
        <v>94.478661333333335</v>
      </c>
      <c r="AL246" s="1146">
        <f t="shared" si="202"/>
        <v>0</v>
      </c>
    </row>
    <row r="247" spans="1:38" ht="18.75">
      <c r="A247" s="1126"/>
      <c r="B247" s="1127"/>
      <c r="C247" s="1128"/>
      <c r="D247" s="1127"/>
      <c r="E247" s="1127" t="s">
        <v>1287</v>
      </c>
      <c r="F247" s="1129">
        <v>1.5</v>
      </c>
      <c r="G247" s="1129">
        <v>0.15</v>
      </c>
      <c r="H247" s="1129">
        <v>1.01</v>
      </c>
      <c r="I247" s="1130">
        <v>1</v>
      </c>
      <c r="J247" s="1131"/>
      <c r="K247" s="1132"/>
      <c r="L247" s="1133">
        <f>I247*(F247*G247*H247)</f>
        <v>0.22724999999999998</v>
      </c>
      <c r="M247" s="1127" t="s">
        <v>1288</v>
      </c>
      <c r="N247" s="1134"/>
      <c r="O247" s="1094"/>
      <c r="P247" s="1135"/>
      <c r="Q247" s="1136"/>
      <c r="R247" s="1137"/>
      <c r="S247" s="1138"/>
      <c r="T247" s="1139"/>
      <c r="U247" s="1131"/>
      <c r="V247" s="1139"/>
      <c r="W247" s="1140"/>
      <c r="X247" s="1122"/>
      <c r="Y247" s="1141" t="s">
        <v>1289</v>
      </c>
      <c r="Z247" s="1142">
        <v>13</v>
      </c>
      <c r="AA247" s="1137">
        <v>0.15</v>
      </c>
      <c r="AB247" s="1138">
        <f>($G$19)/AA247+1</f>
        <v>2</v>
      </c>
      <c r="AC247" s="1139">
        <v>2.11</v>
      </c>
      <c r="AD247" s="1131">
        <v>2</v>
      </c>
      <c r="AE247" s="1139">
        <f>6*Z247/1000</f>
        <v>7.8E-2</v>
      </c>
      <c r="AF247" s="1131">
        <v>2</v>
      </c>
      <c r="AG247" s="1143">
        <f t="shared" si="199"/>
        <v>1.04</v>
      </c>
      <c r="AH247" s="1140">
        <v>1</v>
      </c>
      <c r="AI247" s="1122">
        <f t="shared" si="203"/>
        <v>69.536000000000001</v>
      </c>
      <c r="AJ247" s="1144">
        <f t="shared" si="200"/>
        <v>0</v>
      </c>
      <c r="AK247" s="1145">
        <f t="shared" si="201"/>
        <v>72.468101333333337</v>
      </c>
      <c r="AL247" s="1146">
        <f t="shared" si="202"/>
        <v>0</v>
      </c>
    </row>
    <row r="248" spans="1:38" ht="18.75">
      <c r="A248" s="1126"/>
      <c r="B248" s="1127"/>
      <c r="C248" s="1128"/>
      <c r="D248" s="1127"/>
      <c r="E248" s="1127"/>
      <c r="F248" s="1129"/>
      <c r="G248" s="1129"/>
      <c r="H248" s="1129"/>
      <c r="I248" s="1130"/>
      <c r="J248" s="1131"/>
      <c r="K248" s="1132"/>
      <c r="L248" s="1133"/>
      <c r="M248" s="1127" t="s">
        <v>1290</v>
      </c>
      <c r="N248" s="1134"/>
      <c r="O248" s="1094"/>
      <c r="P248" s="1135"/>
      <c r="Q248" s="1136"/>
      <c r="R248" s="1137"/>
      <c r="S248" s="1138"/>
      <c r="T248" s="1139"/>
      <c r="U248" s="1131"/>
      <c r="V248" s="1139"/>
      <c r="W248" s="1140"/>
      <c r="X248" s="1145"/>
      <c r="Y248" s="1184" t="s">
        <v>1294</v>
      </c>
      <c r="Z248" s="1137">
        <v>13</v>
      </c>
      <c r="AA248" s="1137">
        <v>0.15</v>
      </c>
      <c r="AB248" s="1138">
        <f>($G$19)/AA248+1</f>
        <v>2</v>
      </c>
      <c r="AC248" s="1139">
        <v>0.71</v>
      </c>
      <c r="AD248" s="1131">
        <v>2</v>
      </c>
      <c r="AE248" s="1139">
        <f t="shared" ref="AE248:AE249" si="204">6*Z248/1000</f>
        <v>7.8E-2</v>
      </c>
      <c r="AF248" s="1131">
        <v>2</v>
      </c>
      <c r="AG248" s="1143">
        <f t="shared" si="199"/>
        <v>1.04</v>
      </c>
      <c r="AH248" s="1140">
        <v>2</v>
      </c>
      <c r="AI248" s="1122">
        <f>$J$11*((((AC248)+(AE248*AD248)+(AG248*AF248))*AH248)*AB248)</f>
        <v>94.272000000000006</v>
      </c>
      <c r="AJ248" s="1144">
        <f t="shared" si="200"/>
        <v>0</v>
      </c>
      <c r="AK248" s="1145">
        <f t="shared" si="201"/>
        <v>98.247136000000012</v>
      </c>
      <c r="AL248" s="1146">
        <f t="shared" si="202"/>
        <v>0</v>
      </c>
    </row>
    <row r="249" spans="1:38" ht="18.75">
      <c r="A249" s="1126"/>
      <c r="B249" s="1127"/>
      <c r="C249" s="1128"/>
      <c r="D249" s="1127"/>
      <c r="E249" s="1127"/>
      <c r="F249" s="1129"/>
      <c r="G249" s="1129"/>
      <c r="H249" s="1129"/>
      <c r="I249" s="1130"/>
      <c r="J249" s="1131"/>
      <c r="K249" s="1132"/>
      <c r="L249" s="1133"/>
      <c r="M249" s="1127" t="s">
        <v>1292</v>
      </c>
      <c r="N249" s="1134">
        <f>I246*(F246*H246)</f>
        <v>2.5499999999999998</v>
      </c>
      <c r="O249" s="1094"/>
      <c r="P249" s="1135"/>
      <c r="Q249" s="1136"/>
      <c r="R249" s="1137"/>
      <c r="S249" s="1138"/>
      <c r="T249" s="1139"/>
      <c r="U249" s="1131"/>
      <c r="V249" s="1139"/>
      <c r="W249" s="1140"/>
      <c r="X249" s="1122"/>
      <c r="Y249" s="1141" t="s">
        <v>1291</v>
      </c>
      <c r="Z249" s="1142">
        <v>8</v>
      </c>
      <c r="AA249" s="1137">
        <v>0.15</v>
      </c>
      <c r="AB249" s="1138">
        <f>(H246)/AA249+1</f>
        <v>12.333333333333334</v>
      </c>
      <c r="AC249" s="1139">
        <f>(F246+0.3)-0.06</f>
        <v>1.74</v>
      </c>
      <c r="AD249" s="1131">
        <v>2</v>
      </c>
      <c r="AE249" s="1139">
        <f t="shared" si="204"/>
        <v>4.8000000000000001E-2</v>
      </c>
      <c r="AF249" s="1131">
        <v>0</v>
      </c>
      <c r="AG249" s="1143">
        <f t="shared" si="199"/>
        <v>0</v>
      </c>
      <c r="AH249" s="1140">
        <v>2</v>
      </c>
      <c r="AI249" s="1122">
        <f>$J$11*((((AC249)+(AE249*AD249)+(AG249*AF249))*AH249)*AB249)</f>
        <v>362.30400000000003</v>
      </c>
      <c r="AJ249" s="1144">
        <f t="shared" si="200"/>
        <v>0</v>
      </c>
      <c r="AK249" s="1145">
        <f t="shared" si="201"/>
        <v>0</v>
      </c>
      <c r="AL249" s="1146">
        <f t="shared" si="202"/>
        <v>0</v>
      </c>
    </row>
    <row r="250" spans="1:38" ht="18.75">
      <c r="A250" s="1126"/>
      <c r="B250" s="1127"/>
      <c r="C250" s="1128"/>
      <c r="D250" s="1127"/>
      <c r="E250" s="1127"/>
      <c r="F250" s="1129"/>
      <c r="G250" s="1129"/>
      <c r="H250" s="1129"/>
      <c r="I250" s="1130"/>
      <c r="J250" s="1131"/>
      <c r="K250" s="1132"/>
      <c r="L250" s="1133"/>
      <c r="M250" s="1127" t="s">
        <v>1293</v>
      </c>
      <c r="N250" s="1134">
        <f>I247*(F247*H247)</f>
        <v>1.5150000000000001</v>
      </c>
      <c r="O250" s="1094"/>
      <c r="P250" s="1135"/>
      <c r="Q250" s="1136"/>
      <c r="R250" s="1137"/>
      <c r="S250" s="1138"/>
      <c r="T250" s="1139"/>
      <c r="U250" s="1131"/>
      <c r="V250" s="1139"/>
      <c r="W250" s="1140"/>
      <c r="X250" s="1122"/>
      <c r="Y250" s="1141"/>
      <c r="Z250" s="1142"/>
      <c r="AA250" s="1137"/>
      <c r="AB250" s="1138"/>
      <c r="AC250" s="1139"/>
      <c r="AD250" s="1131"/>
      <c r="AE250" s="1139"/>
      <c r="AF250" s="1131"/>
      <c r="AG250" s="1139"/>
      <c r="AH250" s="1140"/>
      <c r="AI250" s="1122"/>
      <c r="AJ250" s="1144">
        <f t="shared" si="200"/>
        <v>0</v>
      </c>
      <c r="AK250" s="1145">
        <f t="shared" si="201"/>
        <v>0</v>
      </c>
      <c r="AL250" s="1146">
        <f t="shared" si="202"/>
        <v>0</v>
      </c>
    </row>
    <row r="251" spans="1:38" ht="19.5" thickBot="1">
      <c r="A251" s="1147"/>
      <c r="B251" s="1148"/>
      <c r="C251" s="1149"/>
      <c r="D251" s="1148"/>
      <c r="E251" s="1148"/>
      <c r="F251" s="1185"/>
      <c r="G251" s="1185"/>
      <c r="H251" s="1185"/>
      <c r="I251" s="1151"/>
      <c r="J251" s="1186"/>
      <c r="K251" s="1153"/>
      <c r="L251" s="1154"/>
      <c r="M251" s="1148"/>
      <c r="N251" s="1155"/>
      <c r="O251" s="1094"/>
      <c r="P251" s="1156"/>
      <c r="Q251" s="1157"/>
      <c r="R251" s="1158"/>
      <c r="S251" s="1159"/>
      <c r="T251" s="1160"/>
      <c r="U251" s="1152"/>
      <c r="V251" s="1160"/>
      <c r="W251" s="1161"/>
      <c r="X251" s="1162"/>
      <c r="Y251" s="1163"/>
      <c r="Z251" s="1164"/>
      <c r="AA251" s="1158"/>
      <c r="AB251" s="1159"/>
      <c r="AC251" s="1160"/>
      <c r="AD251" s="1152"/>
      <c r="AE251" s="1160"/>
      <c r="AF251" s="1152"/>
      <c r="AG251" s="1160"/>
      <c r="AH251" s="1161"/>
      <c r="AI251" s="1162"/>
      <c r="AJ251" s="1102"/>
      <c r="AK251" s="1165"/>
      <c r="AL251" s="1187"/>
    </row>
    <row r="252" spans="1:38" ht="20.25" thickTop="1" thickBot="1">
      <c r="A252" s="1188"/>
      <c r="B252" s="1189"/>
      <c r="C252" s="1190"/>
      <c r="D252" s="1189"/>
      <c r="E252" s="1191" t="s">
        <v>468</v>
      </c>
      <c r="F252" s="1192"/>
      <c r="G252" s="1192"/>
      <c r="H252" s="1192"/>
      <c r="I252" s="1192"/>
      <c r="J252" s="1192"/>
      <c r="K252" s="1193"/>
      <c r="L252" s="1194">
        <f>SUM(L231:L251)</f>
        <v>3.2264999999999997</v>
      </c>
      <c r="M252" s="1189"/>
      <c r="N252" s="1194">
        <f>SUM(N231:N251)</f>
        <v>21.51</v>
      </c>
      <c r="O252" s="1195"/>
      <c r="P252" s="1196"/>
      <c r="Q252" s="1188"/>
      <c r="R252" s="1197"/>
      <c r="S252" s="1198"/>
      <c r="T252" s="1199"/>
      <c r="U252" s="1200"/>
      <c r="V252" s="1199"/>
      <c r="W252" s="1201"/>
      <c r="X252" s="1202"/>
      <c r="Y252" s="1203"/>
      <c r="Z252" s="1204"/>
      <c r="AA252" s="1197"/>
      <c r="AB252" s="1198"/>
      <c r="AC252" s="1199"/>
      <c r="AD252" s="1200"/>
      <c r="AE252" s="1199"/>
      <c r="AF252" s="1200"/>
      <c r="AG252" s="1199"/>
      <c r="AH252" s="1201"/>
      <c r="AI252" s="1202"/>
      <c r="AJ252" s="1205">
        <f>SUM(AJ231:AJ251)</f>
        <v>0</v>
      </c>
      <c r="AK252" s="1205">
        <f t="shared" ref="AK252:AL252" si="205">SUM(AK231:AK251)</f>
        <v>1195.4068533333334</v>
      </c>
      <c r="AL252" s="1206">
        <f t="shared" si="205"/>
        <v>0</v>
      </c>
    </row>
    <row r="253" spans="1:38" ht="20.25" thickTop="1" thickBot="1">
      <c r="A253" s="1136"/>
      <c r="B253" s="1148"/>
      <c r="C253" s="1128"/>
      <c r="D253" s="1127"/>
      <c r="E253" s="1127"/>
      <c r="F253" s="1129"/>
      <c r="G253" s="1129"/>
      <c r="H253" s="1129"/>
      <c r="I253" s="1181"/>
      <c r="J253" s="1131"/>
      <c r="K253" s="1132"/>
      <c r="L253" s="1133"/>
      <c r="M253" s="1127"/>
      <c r="N253" s="1134"/>
      <c r="O253" s="1094"/>
      <c r="P253" s="1182"/>
      <c r="Q253" s="1136"/>
      <c r="R253" s="1137"/>
      <c r="S253" s="1138"/>
      <c r="T253" s="1139"/>
      <c r="U253" s="1131"/>
      <c r="V253" s="1139"/>
      <c r="W253" s="1140"/>
      <c r="X253" s="1122"/>
      <c r="Y253" s="1183"/>
      <c r="Z253" s="1142"/>
      <c r="AA253" s="1137"/>
      <c r="AB253" s="1138"/>
      <c r="AC253" s="1139"/>
      <c r="AD253" s="1131"/>
      <c r="AE253" s="1139"/>
      <c r="AF253" s="1131"/>
      <c r="AG253" s="1139"/>
      <c r="AH253" s="1140"/>
      <c r="AI253" s="1122"/>
      <c r="AJ253" s="1144"/>
      <c r="AK253" s="1145"/>
      <c r="AL253" s="1207"/>
    </row>
    <row r="254" spans="1:38" ht="19.5" thickTop="1">
      <c r="A254" s="1136"/>
      <c r="B254" s="1166" t="s">
        <v>1277</v>
      </c>
      <c r="C254" s="1106" t="s">
        <v>1299</v>
      </c>
      <c r="D254" s="1127">
        <v>1</v>
      </c>
      <c r="E254" s="1127" t="s">
        <v>1279</v>
      </c>
      <c r="F254" s="1129">
        <v>0.3</v>
      </c>
      <c r="G254" s="1129">
        <v>0.16</v>
      </c>
      <c r="H254" s="1129">
        <v>1.5</v>
      </c>
      <c r="I254" s="1181">
        <v>1</v>
      </c>
      <c r="J254" s="1131">
        <v>8</v>
      </c>
      <c r="K254" s="1132"/>
      <c r="L254" s="1133">
        <f>I254*(((F254*G254*H254)/2)*J254)</f>
        <v>0.28800000000000003</v>
      </c>
      <c r="M254" s="1127" t="s">
        <v>1280</v>
      </c>
      <c r="N254" s="1134">
        <f>I254*(G254*H254*J254)</f>
        <v>1.92</v>
      </c>
      <c r="O254" s="1094"/>
      <c r="P254" s="1182" t="s">
        <v>1281</v>
      </c>
      <c r="Q254" s="1136">
        <v>8</v>
      </c>
      <c r="R254" s="1137"/>
      <c r="S254" s="1138">
        <v>1</v>
      </c>
      <c r="T254" s="1139">
        <f>(H254+0.4)-0.06</f>
        <v>1.8399999999999999</v>
      </c>
      <c r="U254" s="1131">
        <v>2</v>
      </c>
      <c r="V254" s="1139">
        <f>6*Q254/1000</f>
        <v>4.8000000000000001E-2</v>
      </c>
      <c r="W254" s="1140">
        <v>8</v>
      </c>
      <c r="X254" s="1122">
        <f>I254*((((T254)+(V254*U254)*S254)*W254))</f>
        <v>15.488</v>
      </c>
      <c r="Y254" s="1183" t="s">
        <v>1282</v>
      </c>
      <c r="Z254" s="1142">
        <v>13</v>
      </c>
      <c r="AA254" s="1137">
        <v>0.15</v>
      </c>
      <c r="AB254" s="1138">
        <f>($G$19)/AA254+1</f>
        <v>2</v>
      </c>
      <c r="AC254" s="1139">
        <v>3.77</v>
      </c>
      <c r="AD254" s="1131">
        <v>2</v>
      </c>
      <c r="AE254" s="1139">
        <f>6*Z254/1000</f>
        <v>7.8E-2</v>
      </c>
      <c r="AF254" s="1131">
        <v>2</v>
      </c>
      <c r="AG254" s="1143">
        <f t="shared" ref="AG254:AG258" si="206">(40*Z254/1000)*AF254</f>
        <v>1.04</v>
      </c>
      <c r="AH254" s="1140">
        <v>1</v>
      </c>
      <c r="AI254" s="1122">
        <f>$J$11*((((AC254)+(AE254*AD254)+(AG254*AF254))*AH254)*AB254)</f>
        <v>96.096000000000004</v>
      </c>
      <c r="AJ254" s="1144">
        <f t="shared" ref="AJ254:AJ259" si="207">((IF(Q254=$AK$7,X254,0)+(IF(Z254=$AK$7,AI254,0))))*$AK$9</f>
        <v>0</v>
      </c>
      <c r="AK254" s="1145">
        <f t="shared" ref="AK254:AK259" si="208">((IF(Q254=$AL$7,X254,0)+(IF(Z254=$AL$7,AI254,0))))*$AL$9</f>
        <v>100.148048</v>
      </c>
      <c r="AL254" s="1146">
        <f t="shared" ref="AL254:AL259" si="209">((IF(Q254=$AM$7,X254,0)+(IF(Z254=$AM$7,AI254,0))))*$AM$9</f>
        <v>0</v>
      </c>
    </row>
    <row r="255" spans="1:38" ht="18.75">
      <c r="A255" s="1126"/>
      <c r="B255" s="1127"/>
      <c r="C255" s="1128"/>
      <c r="D255" s="1127"/>
      <c r="E255" s="1127" t="s">
        <v>1283</v>
      </c>
      <c r="F255" s="1129">
        <v>1.5</v>
      </c>
      <c r="G255" s="1129">
        <v>0.15</v>
      </c>
      <c r="H255" s="1129">
        <v>2.4</v>
      </c>
      <c r="I255" s="1130">
        <v>1</v>
      </c>
      <c r="J255" s="1131"/>
      <c r="K255" s="1132"/>
      <c r="L255" s="1133">
        <f>I255*(F255*G255*H255)</f>
        <v>0.53999999999999992</v>
      </c>
      <c r="M255" s="1127" t="s">
        <v>1284</v>
      </c>
      <c r="N255" s="1134"/>
      <c r="O255" s="1094"/>
      <c r="P255" s="1135" t="s">
        <v>1285</v>
      </c>
      <c r="Q255" s="1136">
        <v>8</v>
      </c>
      <c r="R255" s="1137">
        <v>0.2</v>
      </c>
      <c r="S255" s="1138">
        <f>(H254/R255+1)</f>
        <v>8.5</v>
      </c>
      <c r="T255" s="1139">
        <f>(F254+G254+0.3)-(0.03*2)</f>
        <v>0.7</v>
      </c>
      <c r="U255" s="1131">
        <v>2</v>
      </c>
      <c r="V255" s="1139">
        <f>6*Q255/1000</f>
        <v>4.8000000000000001E-2</v>
      </c>
      <c r="W255" s="1140">
        <v>8</v>
      </c>
      <c r="X255" s="1122">
        <f>I254*(((((T255)+(V255*U255))*S255)*W255))</f>
        <v>54.127999999999993</v>
      </c>
      <c r="Y255" s="1141" t="s">
        <v>1286</v>
      </c>
      <c r="Z255" s="1142">
        <v>13</v>
      </c>
      <c r="AA255" s="1137">
        <v>0.15</v>
      </c>
      <c r="AB255" s="1138">
        <f>($G$19)/AA255+1</f>
        <v>2</v>
      </c>
      <c r="AC255" s="1139">
        <v>4.12</v>
      </c>
      <c r="AD255" s="1131">
        <v>2</v>
      </c>
      <c r="AE255" s="1139">
        <f>6*Z255/1000</f>
        <v>7.8E-2</v>
      </c>
      <c r="AF255" s="1131">
        <v>2</v>
      </c>
      <c r="AG255" s="1143">
        <f t="shared" si="206"/>
        <v>1.04</v>
      </c>
      <c r="AH255" s="1140">
        <v>1</v>
      </c>
      <c r="AI255" s="1122">
        <f t="shared" ref="AI255:AI256" si="210">$J$11*((((AC255)+(AE255*AD255)+(AG255*AF255))*AH255)*AB255)</f>
        <v>101.696</v>
      </c>
      <c r="AJ255" s="1144">
        <f t="shared" si="207"/>
        <v>0</v>
      </c>
      <c r="AK255" s="1145">
        <f t="shared" si="208"/>
        <v>105.98418133333334</v>
      </c>
      <c r="AL255" s="1146">
        <f t="shared" si="209"/>
        <v>0</v>
      </c>
    </row>
    <row r="256" spans="1:38" ht="18.75">
      <c r="A256" s="1126"/>
      <c r="B256" s="1127"/>
      <c r="C256" s="1128"/>
      <c r="D256" s="1127"/>
      <c r="E256" s="1127" t="s">
        <v>1287</v>
      </c>
      <c r="F256" s="1129">
        <v>1.5</v>
      </c>
      <c r="G256" s="1129">
        <v>0.15</v>
      </c>
      <c r="H256" s="1129">
        <v>1.536</v>
      </c>
      <c r="I256" s="1130">
        <v>1</v>
      </c>
      <c r="J256" s="1131"/>
      <c r="K256" s="1132"/>
      <c r="L256" s="1133">
        <f>I256*(F256*G256*H256)</f>
        <v>0.34559999999999996</v>
      </c>
      <c r="M256" s="1127" t="s">
        <v>1288</v>
      </c>
      <c r="N256" s="1134"/>
      <c r="O256" s="1094"/>
      <c r="P256" s="1135"/>
      <c r="Q256" s="1136"/>
      <c r="R256" s="1137"/>
      <c r="S256" s="1138"/>
      <c r="T256" s="1139"/>
      <c r="U256" s="1131"/>
      <c r="V256" s="1139"/>
      <c r="W256" s="1140"/>
      <c r="X256" s="1122"/>
      <c r="Y256" s="1141" t="s">
        <v>1289</v>
      </c>
      <c r="Z256" s="1142">
        <v>13</v>
      </c>
      <c r="AA256" s="1137">
        <v>0.15</v>
      </c>
      <c r="AB256" s="1138">
        <f>($G$19)/AA256+1</f>
        <v>2</v>
      </c>
      <c r="AC256" s="1139">
        <v>1.37</v>
      </c>
      <c r="AD256" s="1131">
        <v>2</v>
      </c>
      <c r="AE256" s="1139">
        <f>6*Z256/1000</f>
        <v>7.8E-2</v>
      </c>
      <c r="AF256" s="1131">
        <v>2</v>
      </c>
      <c r="AG256" s="1143">
        <f t="shared" si="206"/>
        <v>1.04</v>
      </c>
      <c r="AH256" s="1140">
        <v>1</v>
      </c>
      <c r="AI256" s="1122">
        <f t="shared" si="210"/>
        <v>57.695999999999998</v>
      </c>
      <c r="AJ256" s="1144">
        <f t="shared" si="207"/>
        <v>0</v>
      </c>
      <c r="AK256" s="1145">
        <f t="shared" si="208"/>
        <v>60.128847999999998</v>
      </c>
      <c r="AL256" s="1146">
        <f t="shared" si="209"/>
        <v>0</v>
      </c>
    </row>
    <row r="257" spans="1:38" ht="18.75">
      <c r="A257" s="1126"/>
      <c r="B257" s="1127"/>
      <c r="C257" s="1128"/>
      <c r="D257" s="1127"/>
      <c r="E257" s="1127"/>
      <c r="F257" s="1129"/>
      <c r="G257" s="1129"/>
      <c r="H257" s="1129"/>
      <c r="I257" s="1130"/>
      <c r="J257" s="1131"/>
      <c r="K257" s="1132"/>
      <c r="L257" s="1133"/>
      <c r="M257" s="1127" t="s">
        <v>1290</v>
      </c>
      <c r="N257" s="1134"/>
      <c r="O257" s="1094"/>
      <c r="P257" s="1135"/>
      <c r="Q257" s="1136"/>
      <c r="R257" s="1137"/>
      <c r="S257" s="1138"/>
      <c r="T257" s="1139"/>
      <c r="U257" s="1131"/>
      <c r="V257" s="1139"/>
      <c r="W257" s="1140"/>
      <c r="X257" s="1145"/>
      <c r="Y257" s="1184" t="s">
        <v>1294</v>
      </c>
      <c r="Z257" s="1137">
        <v>13</v>
      </c>
      <c r="AA257" s="1137">
        <v>0.15</v>
      </c>
      <c r="AB257" s="1138">
        <f>($G$19)/AA257+1</f>
        <v>2</v>
      </c>
      <c r="AC257" s="1139">
        <v>1.74</v>
      </c>
      <c r="AD257" s="1131">
        <v>2</v>
      </c>
      <c r="AE257" s="1139">
        <f t="shared" ref="AE257:AE258" si="211">6*Z257/1000</f>
        <v>7.8E-2</v>
      </c>
      <c r="AF257" s="1131">
        <v>2</v>
      </c>
      <c r="AG257" s="1143">
        <f t="shared" si="206"/>
        <v>1.04</v>
      </c>
      <c r="AH257" s="1140">
        <v>2</v>
      </c>
      <c r="AI257" s="1122">
        <f>$J$11*((((AC257)+(AE257*AD257)+(AG257*AF257))*AH257)*AB257)</f>
        <v>127.232</v>
      </c>
      <c r="AJ257" s="1144">
        <f t="shared" si="207"/>
        <v>0</v>
      </c>
      <c r="AK257" s="1145">
        <f t="shared" si="208"/>
        <v>132.59694933333333</v>
      </c>
      <c r="AL257" s="1146">
        <f t="shared" si="209"/>
        <v>0</v>
      </c>
    </row>
    <row r="258" spans="1:38" ht="18.75">
      <c r="A258" s="1126"/>
      <c r="B258" s="1127"/>
      <c r="C258" s="1128"/>
      <c r="D258" s="1127"/>
      <c r="E258" s="1127"/>
      <c r="F258" s="1129"/>
      <c r="G258" s="1129"/>
      <c r="H258" s="1129"/>
      <c r="I258" s="1130"/>
      <c r="J258" s="1131"/>
      <c r="K258" s="1132"/>
      <c r="L258" s="1133"/>
      <c r="M258" s="1127" t="s">
        <v>1292</v>
      </c>
      <c r="N258" s="1134">
        <f>I255*(F255*H255)</f>
        <v>3.5999999999999996</v>
      </c>
      <c r="O258" s="1094"/>
      <c r="P258" s="1135"/>
      <c r="Q258" s="1136"/>
      <c r="R258" s="1137"/>
      <c r="S258" s="1138"/>
      <c r="T258" s="1139"/>
      <c r="U258" s="1131"/>
      <c r="V258" s="1139"/>
      <c r="W258" s="1140"/>
      <c r="X258" s="1122"/>
      <c r="Y258" s="1141" t="s">
        <v>1291</v>
      </c>
      <c r="Z258" s="1142">
        <v>8</v>
      </c>
      <c r="AA258" s="1137">
        <v>0.15</v>
      </c>
      <c r="AB258" s="1138">
        <f>(H255)/AA258+1</f>
        <v>17</v>
      </c>
      <c r="AC258" s="1139">
        <f>(F255+0.3)-0.06</f>
        <v>1.74</v>
      </c>
      <c r="AD258" s="1131">
        <v>2</v>
      </c>
      <c r="AE258" s="1139">
        <f t="shared" si="211"/>
        <v>4.8000000000000001E-2</v>
      </c>
      <c r="AF258" s="1131">
        <v>0</v>
      </c>
      <c r="AG258" s="1143">
        <f t="shared" si="206"/>
        <v>0</v>
      </c>
      <c r="AH258" s="1140">
        <v>2</v>
      </c>
      <c r="AI258" s="1122">
        <f>$J$11*((((AC258)+(AE258*AD258)+(AG258*AF258))*AH258)*AB258)</f>
        <v>499.392</v>
      </c>
      <c r="AJ258" s="1144">
        <f t="shared" si="207"/>
        <v>0</v>
      </c>
      <c r="AK258" s="1145">
        <f t="shared" si="208"/>
        <v>0</v>
      </c>
      <c r="AL258" s="1146">
        <f t="shared" si="209"/>
        <v>0</v>
      </c>
    </row>
    <row r="259" spans="1:38" ht="18.75">
      <c r="A259" s="1126"/>
      <c r="B259" s="1127"/>
      <c r="C259" s="1128"/>
      <c r="D259" s="1127"/>
      <c r="E259" s="1127"/>
      <c r="F259" s="1129"/>
      <c r="G259" s="1129"/>
      <c r="H259" s="1129"/>
      <c r="I259" s="1130"/>
      <c r="J259" s="1131"/>
      <c r="K259" s="1132"/>
      <c r="L259" s="1133"/>
      <c r="M259" s="1127" t="s">
        <v>1293</v>
      </c>
      <c r="N259" s="1134">
        <f>I256*(F256*H256)</f>
        <v>2.3040000000000003</v>
      </c>
      <c r="O259" s="1094"/>
      <c r="P259" s="1135"/>
      <c r="Q259" s="1136"/>
      <c r="R259" s="1137"/>
      <c r="S259" s="1138"/>
      <c r="T259" s="1139"/>
      <c r="U259" s="1131"/>
      <c r="V259" s="1139"/>
      <c r="W259" s="1140"/>
      <c r="X259" s="1122"/>
      <c r="Y259" s="1141"/>
      <c r="Z259" s="1142"/>
      <c r="AA259" s="1137"/>
      <c r="AB259" s="1138"/>
      <c r="AC259" s="1139"/>
      <c r="AD259" s="1131"/>
      <c r="AE259" s="1139"/>
      <c r="AF259" s="1131"/>
      <c r="AG259" s="1139"/>
      <c r="AH259" s="1140"/>
      <c r="AI259" s="1122"/>
      <c r="AJ259" s="1144">
        <f t="shared" si="207"/>
        <v>0</v>
      </c>
      <c r="AK259" s="1145">
        <f t="shared" si="208"/>
        <v>0</v>
      </c>
      <c r="AL259" s="1146">
        <f t="shared" si="209"/>
        <v>0</v>
      </c>
    </row>
    <row r="260" spans="1:38" ht="18.75">
      <c r="A260" s="1126"/>
      <c r="B260" s="1127"/>
      <c r="C260" s="1128"/>
      <c r="D260" s="1127"/>
      <c r="E260" s="1127"/>
      <c r="F260" s="1168"/>
      <c r="G260" s="1168"/>
      <c r="H260" s="1168"/>
      <c r="I260" s="1130"/>
      <c r="J260" s="1169"/>
      <c r="K260" s="1132"/>
      <c r="L260" s="1133"/>
      <c r="M260" s="1127"/>
      <c r="N260" s="1134"/>
      <c r="O260" s="1094"/>
      <c r="P260" s="1135"/>
      <c r="Q260" s="1136"/>
      <c r="R260" s="1137"/>
      <c r="S260" s="1138"/>
      <c r="T260" s="1139"/>
      <c r="U260" s="1131"/>
      <c r="V260" s="1139"/>
      <c r="W260" s="1140"/>
      <c r="X260" s="1122"/>
      <c r="Y260" s="1141"/>
      <c r="Z260" s="1142"/>
      <c r="AA260" s="1137"/>
      <c r="AB260" s="1138"/>
      <c r="AC260" s="1139"/>
      <c r="AD260" s="1131"/>
      <c r="AE260" s="1139"/>
      <c r="AF260" s="1131"/>
      <c r="AG260" s="1139"/>
      <c r="AH260" s="1140"/>
      <c r="AI260" s="1122"/>
      <c r="AJ260" s="1144"/>
      <c r="AK260" s="1145"/>
      <c r="AL260" s="1146"/>
    </row>
    <row r="261" spans="1:38" ht="18.75">
      <c r="A261" s="1136"/>
      <c r="B261" s="1166"/>
      <c r="C261" s="1128"/>
      <c r="D261" s="1127">
        <v>2</v>
      </c>
      <c r="E261" s="1127" t="s">
        <v>1279</v>
      </c>
      <c r="F261" s="1129">
        <v>0.3</v>
      </c>
      <c r="G261" s="1129">
        <v>0.16</v>
      </c>
      <c r="H261" s="1129">
        <v>1.5</v>
      </c>
      <c r="I261" s="1181">
        <v>1</v>
      </c>
      <c r="J261" s="1131">
        <v>9</v>
      </c>
      <c r="K261" s="1132"/>
      <c r="L261" s="1133">
        <f>I261*(((F261*G261*H261)/2)*J261)</f>
        <v>0.32400000000000007</v>
      </c>
      <c r="M261" s="1127" t="s">
        <v>1280</v>
      </c>
      <c r="N261" s="1134">
        <f>I261*(G261*H261*J261)</f>
        <v>2.16</v>
      </c>
      <c r="O261" s="1094"/>
      <c r="P261" s="1182" t="s">
        <v>1281</v>
      </c>
      <c r="Q261" s="1136">
        <v>8</v>
      </c>
      <c r="R261" s="1137"/>
      <c r="S261" s="1138">
        <v>1</v>
      </c>
      <c r="T261" s="1139">
        <f>(H261+0.4)-0.06</f>
        <v>1.8399999999999999</v>
      </c>
      <c r="U261" s="1131">
        <v>2</v>
      </c>
      <c r="V261" s="1139">
        <f>6*Q261/1000</f>
        <v>4.8000000000000001E-2</v>
      </c>
      <c r="W261" s="1140">
        <v>9</v>
      </c>
      <c r="X261" s="1122">
        <f>I261*((((T261)+(V261*U261)*S261)*W261))</f>
        <v>17.423999999999999</v>
      </c>
      <c r="Y261" s="1183" t="s">
        <v>1282</v>
      </c>
      <c r="Z261" s="1142">
        <v>13</v>
      </c>
      <c r="AA261" s="1137">
        <v>0.15</v>
      </c>
      <c r="AB261" s="1138">
        <f>($G$19)/AA261+1</f>
        <v>2</v>
      </c>
      <c r="AC261" s="1139">
        <f>1.5+3.06</f>
        <v>4.5600000000000005</v>
      </c>
      <c r="AD261" s="1131">
        <v>2</v>
      </c>
      <c r="AE261" s="1139">
        <f>6*Z261/1000</f>
        <v>7.8E-2</v>
      </c>
      <c r="AF261" s="1131">
        <v>2</v>
      </c>
      <c r="AG261" s="1143">
        <f t="shared" ref="AG261:AG265" si="212">(40*Z261/1000)*AF261</f>
        <v>1.04</v>
      </c>
      <c r="AH261" s="1140">
        <v>1</v>
      </c>
      <c r="AI261" s="1122">
        <f>$J$11*((((AC261)+(AE261*AD261)+(AG261*AF261))*AH261)*AB261)</f>
        <v>108.736</v>
      </c>
      <c r="AJ261" s="1144">
        <f t="shared" ref="AJ261:AJ266" si="213">((IF(Q261=$AK$7,X261,0)+(IF(Z261=$AK$7,AI261,0))))*$AK$9</f>
        <v>0</v>
      </c>
      <c r="AK261" s="1145">
        <f t="shared" ref="AK261:AK266" si="214">((IF(Q261=$AL$7,X261,0)+(IF(Z261=$AL$7,AI261,0))))*$AL$9</f>
        <v>113.32103466666668</v>
      </c>
      <c r="AL261" s="1146">
        <f t="shared" ref="AL261:AL266" si="215">((IF(Q261=$AM$7,X261,0)+(IF(Z261=$AM$7,AI261,0))))*$AM$9</f>
        <v>0</v>
      </c>
    </row>
    <row r="262" spans="1:38" ht="18.75">
      <c r="A262" s="1126"/>
      <c r="B262" s="1127"/>
      <c r="C262" s="1128"/>
      <c r="D262" s="1127"/>
      <c r="E262" s="1127" t="s">
        <v>1283</v>
      </c>
      <c r="F262" s="1129">
        <v>1.5</v>
      </c>
      <c r="G262" s="1129">
        <v>0.15</v>
      </c>
      <c r="H262" s="1129">
        <f>0.34*9</f>
        <v>3.06</v>
      </c>
      <c r="I262" s="1130">
        <v>1</v>
      </c>
      <c r="J262" s="1131"/>
      <c r="K262" s="1132"/>
      <c r="L262" s="1133">
        <f>I262*(F262*G262*H262)</f>
        <v>0.68849999999999989</v>
      </c>
      <c r="M262" s="1127" t="s">
        <v>1284</v>
      </c>
      <c r="N262" s="1134"/>
      <c r="O262" s="1094"/>
      <c r="P262" s="1135" t="s">
        <v>1285</v>
      </c>
      <c r="Q262" s="1136">
        <v>8</v>
      </c>
      <c r="R262" s="1137">
        <v>0.2</v>
      </c>
      <c r="S262" s="1138">
        <f>(H261/R262+1)</f>
        <v>8.5</v>
      </c>
      <c r="T262" s="1139">
        <f>(F261+G261+0.3)-(0.03*2)</f>
        <v>0.7</v>
      </c>
      <c r="U262" s="1131">
        <v>2</v>
      </c>
      <c r="V262" s="1139">
        <f>6*Q262/1000</f>
        <v>4.8000000000000001E-2</v>
      </c>
      <c r="W262" s="1140">
        <v>9</v>
      </c>
      <c r="X262" s="1122">
        <f>I261*(((((T262)+(V262*U262))*S262)*W262))</f>
        <v>60.893999999999991</v>
      </c>
      <c r="Y262" s="1141" t="s">
        <v>1286</v>
      </c>
      <c r="Z262" s="1142">
        <v>13</v>
      </c>
      <c r="AA262" s="1137">
        <v>0.15</v>
      </c>
      <c r="AB262" s="1138">
        <f>($G$19)/AA262+1</f>
        <v>2</v>
      </c>
      <c r="AC262" s="1139">
        <f>1.5+3.06</f>
        <v>4.5600000000000005</v>
      </c>
      <c r="AD262" s="1131">
        <v>2</v>
      </c>
      <c r="AE262" s="1139">
        <f>6*Z262/1000</f>
        <v>7.8E-2</v>
      </c>
      <c r="AF262" s="1131">
        <v>2</v>
      </c>
      <c r="AG262" s="1143">
        <f t="shared" si="212"/>
        <v>1.04</v>
      </c>
      <c r="AH262" s="1140">
        <v>1</v>
      </c>
      <c r="AI262" s="1122">
        <f t="shared" ref="AI262:AI263" si="216">$J$11*((((AC262)+(AE262*AD262)+(AG262*AF262))*AH262)*AB262)</f>
        <v>108.736</v>
      </c>
      <c r="AJ262" s="1144">
        <f t="shared" si="213"/>
        <v>0</v>
      </c>
      <c r="AK262" s="1145">
        <f t="shared" si="214"/>
        <v>113.32103466666668</v>
      </c>
      <c r="AL262" s="1146">
        <f t="shared" si="215"/>
        <v>0</v>
      </c>
    </row>
    <row r="263" spans="1:38" ht="18.75">
      <c r="A263" s="1126"/>
      <c r="B263" s="1127"/>
      <c r="C263" s="1128"/>
      <c r="D263" s="1127"/>
      <c r="E263" s="1127" t="s">
        <v>1287</v>
      </c>
      <c r="F263" s="1129">
        <v>1.5</v>
      </c>
      <c r="G263" s="1129">
        <v>0.15</v>
      </c>
      <c r="H263" s="1129">
        <v>1.91</v>
      </c>
      <c r="I263" s="1130">
        <v>1</v>
      </c>
      <c r="J263" s="1131"/>
      <c r="K263" s="1132"/>
      <c r="L263" s="1133">
        <f>I263*(F263*G263*H263)</f>
        <v>0.42974999999999997</v>
      </c>
      <c r="M263" s="1127" t="s">
        <v>1288</v>
      </c>
      <c r="N263" s="1134"/>
      <c r="O263" s="1094"/>
      <c r="P263" s="1135"/>
      <c r="Q263" s="1136"/>
      <c r="R263" s="1137"/>
      <c r="S263" s="1138"/>
      <c r="T263" s="1139"/>
      <c r="U263" s="1131"/>
      <c r="V263" s="1139"/>
      <c r="W263" s="1140"/>
      <c r="X263" s="1122"/>
      <c r="Y263" s="1141" t="s">
        <v>1289</v>
      </c>
      <c r="Z263" s="1142">
        <v>13</v>
      </c>
      <c r="AA263" s="1137">
        <v>0.15</v>
      </c>
      <c r="AB263" s="1138">
        <f>($G$19)/AA263+1</f>
        <v>2</v>
      </c>
      <c r="AC263" s="1139">
        <v>1.5</v>
      </c>
      <c r="AD263" s="1131">
        <v>2</v>
      </c>
      <c r="AE263" s="1139">
        <f>6*Z263/1000</f>
        <v>7.8E-2</v>
      </c>
      <c r="AF263" s="1131">
        <v>2</v>
      </c>
      <c r="AG263" s="1143">
        <f t="shared" si="212"/>
        <v>1.04</v>
      </c>
      <c r="AH263" s="1140">
        <v>1</v>
      </c>
      <c r="AI263" s="1122">
        <f t="shared" si="216"/>
        <v>59.775999999999996</v>
      </c>
      <c r="AJ263" s="1144">
        <f t="shared" si="213"/>
        <v>0</v>
      </c>
      <c r="AK263" s="1145">
        <f t="shared" si="214"/>
        <v>62.296554666666665</v>
      </c>
      <c r="AL263" s="1146">
        <f t="shared" si="215"/>
        <v>0</v>
      </c>
    </row>
    <row r="264" spans="1:38" ht="18.75">
      <c r="A264" s="1126"/>
      <c r="B264" s="1127"/>
      <c r="C264" s="1128"/>
      <c r="D264" s="1127"/>
      <c r="E264" s="1127"/>
      <c r="F264" s="1129"/>
      <c r="G264" s="1129"/>
      <c r="H264" s="1129"/>
      <c r="I264" s="1130"/>
      <c r="J264" s="1131"/>
      <c r="K264" s="1132"/>
      <c r="L264" s="1133"/>
      <c r="M264" s="1127" t="s">
        <v>1290</v>
      </c>
      <c r="N264" s="1134"/>
      <c r="O264" s="1094"/>
      <c r="P264" s="1135"/>
      <c r="Q264" s="1136"/>
      <c r="R264" s="1137"/>
      <c r="S264" s="1138"/>
      <c r="T264" s="1139"/>
      <c r="U264" s="1131"/>
      <c r="V264" s="1139"/>
      <c r="W264" s="1140"/>
      <c r="X264" s="1145"/>
      <c r="Y264" s="1184" t="s">
        <v>1294</v>
      </c>
      <c r="Z264" s="1137">
        <v>13</v>
      </c>
      <c r="AA264" s="1137">
        <v>0.15</v>
      </c>
      <c r="AB264" s="1138">
        <f>($G$19)/AA264+1</f>
        <v>2</v>
      </c>
      <c r="AC264" s="1139">
        <v>1.5</v>
      </c>
      <c r="AD264" s="1131">
        <v>2</v>
      </c>
      <c r="AE264" s="1139">
        <f t="shared" ref="AE264:AE265" si="217">6*Z264/1000</f>
        <v>7.8E-2</v>
      </c>
      <c r="AF264" s="1131">
        <v>2</v>
      </c>
      <c r="AG264" s="1143">
        <f t="shared" si="212"/>
        <v>1.04</v>
      </c>
      <c r="AH264" s="1140">
        <v>2</v>
      </c>
      <c r="AI264" s="1122">
        <f>$J$11*((((AC264)+(AE264*AD264)+(AG264*AF264))*AH264)*AB264)</f>
        <v>119.55199999999999</v>
      </c>
      <c r="AJ264" s="1144">
        <f t="shared" si="213"/>
        <v>0</v>
      </c>
      <c r="AK264" s="1145">
        <f t="shared" si="214"/>
        <v>124.59310933333333</v>
      </c>
      <c r="AL264" s="1146">
        <f t="shared" si="215"/>
        <v>0</v>
      </c>
    </row>
    <row r="265" spans="1:38" ht="18.75">
      <c r="A265" s="1126"/>
      <c r="B265" s="1127"/>
      <c r="C265" s="1128"/>
      <c r="D265" s="1127"/>
      <c r="E265" s="1127"/>
      <c r="F265" s="1129"/>
      <c r="G265" s="1129"/>
      <c r="H265" s="1129"/>
      <c r="I265" s="1130"/>
      <c r="J265" s="1131"/>
      <c r="K265" s="1132"/>
      <c r="L265" s="1133"/>
      <c r="M265" s="1127" t="s">
        <v>1292</v>
      </c>
      <c r="N265" s="1134">
        <f>I262*(F262*H262)</f>
        <v>4.59</v>
      </c>
      <c r="O265" s="1094"/>
      <c r="P265" s="1135"/>
      <c r="Q265" s="1136"/>
      <c r="R265" s="1137"/>
      <c r="S265" s="1138"/>
      <c r="T265" s="1139"/>
      <c r="U265" s="1131"/>
      <c r="V265" s="1139"/>
      <c r="W265" s="1140"/>
      <c r="X265" s="1122"/>
      <c r="Y265" s="1141" t="s">
        <v>1291</v>
      </c>
      <c r="Z265" s="1142">
        <v>8</v>
      </c>
      <c r="AA265" s="1137">
        <v>0.15</v>
      </c>
      <c r="AB265" s="1138">
        <f>(H262)/AA265+1</f>
        <v>21.400000000000002</v>
      </c>
      <c r="AC265" s="1139">
        <f>(F262+0.3)-0.06</f>
        <v>1.74</v>
      </c>
      <c r="AD265" s="1131">
        <v>2</v>
      </c>
      <c r="AE265" s="1139">
        <f t="shared" si="217"/>
        <v>4.8000000000000001E-2</v>
      </c>
      <c r="AF265" s="1131">
        <v>0</v>
      </c>
      <c r="AG265" s="1143">
        <f t="shared" si="212"/>
        <v>0</v>
      </c>
      <c r="AH265" s="1140">
        <v>2</v>
      </c>
      <c r="AI265" s="1122">
        <f>$J$11*((((AC265)+(AE265*AD265)+(AG265*AF265))*AH265)*AB265)</f>
        <v>628.64640000000009</v>
      </c>
      <c r="AJ265" s="1144">
        <f t="shared" si="213"/>
        <v>0</v>
      </c>
      <c r="AK265" s="1145">
        <f t="shared" si="214"/>
        <v>0</v>
      </c>
      <c r="AL265" s="1146">
        <f t="shared" si="215"/>
        <v>0</v>
      </c>
    </row>
    <row r="266" spans="1:38" ht="18.75">
      <c r="A266" s="1126"/>
      <c r="B266" s="1127"/>
      <c r="C266" s="1128"/>
      <c r="D266" s="1127"/>
      <c r="E266" s="1127"/>
      <c r="F266" s="1129"/>
      <c r="G266" s="1129"/>
      <c r="H266" s="1129"/>
      <c r="I266" s="1130"/>
      <c r="J266" s="1131"/>
      <c r="K266" s="1132"/>
      <c r="L266" s="1133"/>
      <c r="M266" s="1127" t="s">
        <v>1293</v>
      </c>
      <c r="N266" s="1134">
        <f>I263*(F263*H263)</f>
        <v>2.8649999999999998</v>
      </c>
      <c r="O266" s="1094"/>
      <c r="P266" s="1135"/>
      <c r="Q266" s="1136"/>
      <c r="R266" s="1137"/>
      <c r="S266" s="1138"/>
      <c r="T266" s="1139"/>
      <c r="U266" s="1131"/>
      <c r="V266" s="1139"/>
      <c r="W266" s="1140"/>
      <c r="X266" s="1122"/>
      <c r="Y266" s="1141"/>
      <c r="Z266" s="1142"/>
      <c r="AA266" s="1137"/>
      <c r="AB266" s="1138"/>
      <c r="AC266" s="1139"/>
      <c r="AD266" s="1131"/>
      <c r="AE266" s="1139"/>
      <c r="AF266" s="1131"/>
      <c r="AG266" s="1139"/>
      <c r="AH266" s="1140"/>
      <c r="AI266" s="1122"/>
      <c r="AJ266" s="1144">
        <f t="shared" si="213"/>
        <v>0</v>
      </c>
      <c r="AK266" s="1145">
        <f t="shared" si="214"/>
        <v>0</v>
      </c>
      <c r="AL266" s="1146">
        <f t="shared" si="215"/>
        <v>0</v>
      </c>
    </row>
    <row r="267" spans="1:38" ht="18.75">
      <c r="A267" s="1126"/>
      <c r="B267" s="1127"/>
      <c r="C267" s="1128"/>
      <c r="D267" s="1127"/>
      <c r="E267" s="1127"/>
      <c r="F267" s="1168"/>
      <c r="G267" s="1168"/>
      <c r="H267" s="1168"/>
      <c r="I267" s="1130"/>
      <c r="J267" s="1169"/>
      <c r="K267" s="1132"/>
      <c r="L267" s="1133"/>
      <c r="M267" s="1127"/>
      <c r="N267" s="1134"/>
      <c r="O267" s="1094"/>
      <c r="P267" s="1135"/>
      <c r="Q267" s="1136"/>
      <c r="R267" s="1137"/>
      <c r="S267" s="1138"/>
      <c r="T267" s="1139"/>
      <c r="U267" s="1131"/>
      <c r="V267" s="1139"/>
      <c r="W267" s="1140"/>
      <c r="X267" s="1122"/>
      <c r="Y267" s="1141"/>
      <c r="Z267" s="1142"/>
      <c r="AA267" s="1137"/>
      <c r="AB267" s="1138"/>
      <c r="AC267" s="1139"/>
      <c r="AD267" s="1131"/>
      <c r="AE267" s="1139"/>
      <c r="AF267" s="1131"/>
      <c r="AG267" s="1139"/>
      <c r="AH267" s="1140"/>
      <c r="AI267" s="1122"/>
      <c r="AJ267" s="1144"/>
      <c r="AK267" s="1145"/>
      <c r="AL267" s="1146"/>
    </row>
    <row r="268" spans="1:38" ht="18.75">
      <c r="A268" s="1136"/>
      <c r="B268" s="1166"/>
      <c r="C268" s="1128"/>
      <c r="D268" s="1127">
        <v>3</v>
      </c>
      <c r="E268" s="1127" t="s">
        <v>1279</v>
      </c>
      <c r="F268" s="1129">
        <v>0.3</v>
      </c>
      <c r="G268" s="1129">
        <v>0.16</v>
      </c>
      <c r="H268" s="1129">
        <v>1.5</v>
      </c>
      <c r="I268" s="1181">
        <v>1</v>
      </c>
      <c r="J268" s="1131">
        <v>8</v>
      </c>
      <c r="K268" s="1132"/>
      <c r="L268" s="1133">
        <f>I268*(((F268*G268*H268)/2)*J268)</f>
        <v>0.28800000000000003</v>
      </c>
      <c r="M268" s="1127" t="s">
        <v>1280</v>
      </c>
      <c r="N268" s="1134">
        <f>I268*(G268*H268*J268)</f>
        <v>1.92</v>
      </c>
      <c r="O268" s="1094"/>
      <c r="P268" s="1182" t="s">
        <v>1281</v>
      </c>
      <c r="Q268" s="1136">
        <v>8</v>
      </c>
      <c r="R268" s="1137"/>
      <c r="S268" s="1138">
        <v>1</v>
      </c>
      <c r="T268" s="1139">
        <f>(H268+0.4)-0.06</f>
        <v>1.8399999999999999</v>
      </c>
      <c r="U268" s="1131">
        <v>2</v>
      </c>
      <c r="V268" s="1139">
        <f>6*Q268/1000</f>
        <v>4.8000000000000001E-2</v>
      </c>
      <c r="W268" s="1140">
        <v>8</v>
      </c>
      <c r="X268" s="1122">
        <f>I268*((((T268)+(V268*U268)*S268)*W268))</f>
        <v>15.488</v>
      </c>
      <c r="Y268" s="1183" t="s">
        <v>1282</v>
      </c>
      <c r="Z268" s="1142">
        <v>13</v>
      </c>
      <c r="AA268" s="1137">
        <v>0.15</v>
      </c>
      <c r="AB268" s="1138">
        <f>($G$19)/AA268+1</f>
        <v>2</v>
      </c>
      <c r="AC268" s="1139">
        <v>4.83</v>
      </c>
      <c r="AD268" s="1131">
        <v>2</v>
      </c>
      <c r="AE268" s="1139">
        <f>6*Z268/1000</f>
        <v>7.8E-2</v>
      </c>
      <c r="AF268" s="1131">
        <v>2</v>
      </c>
      <c r="AG268" s="1143">
        <f t="shared" ref="AG268:AG272" si="218">(40*Z268/1000)*AF268</f>
        <v>1.04</v>
      </c>
      <c r="AH268" s="1140">
        <v>1</v>
      </c>
      <c r="AI268" s="1122">
        <f>$J$11*((((AC268)+(AE268*AD268)+(AG268*AF268))*AH268)*AB268)</f>
        <v>113.056</v>
      </c>
      <c r="AJ268" s="1144">
        <f t="shared" ref="AJ268:AJ273" si="219">((IF(Q268=$AK$7,X268,0)+(IF(Z268=$AK$7,AI268,0))))*$AK$9</f>
        <v>0</v>
      </c>
      <c r="AK268" s="1145">
        <f t="shared" ref="AK268:AK273" si="220">((IF(Q268=$AL$7,X268,0)+(IF(Z268=$AL$7,AI268,0))))*$AL$9</f>
        <v>117.82319466666667</v>
      </c>
      <c r="AL268" s="1146">
        <f t="shared" ref="AL268:AL273" si="221">((IF(Q268=$AM$7,X268,0)+(IF(Z268=$AM$7,AI268,0))))*$AM$9</f>
        <v>0</v>
      </c>
    </row>
    <row r="269" spans="1:38" ht="18.75">
      <c r="A269" s="1126"/>
      <c r="B269" s="1127"/>
      <c r="C269" s="1128"/>
      <c r="D269" s="1127"/>
      <c r="E269" s="1127" t="s">
        <v>1283</v>
      </c>
      <c r="F269" s="1129">
        <v>1.5</v>
      </c>
      <c r="G269" s="1129">
        <v>0.15</v>
      </c>
      <c r="H269" s="1129">
        <v>2.72</v>
      </c>
      <c r="I269" s="1130">
        <v>1</v>
      </c>
      <c r="J269" s="1131"/>
      <c r="K269" s="1132"/>
      <c r="L269" s="1133">
        <f>I269*(F269*G269*H269)</f>
        <v>0.61199999999999999</v>
      </c>
      <c r="M269" s="1127" t="s">
        <v>1284</v>
      </c>
      <c r="N269" s="1134"/>
      <c r="O269" s="1094"/>
      <c r="P269" s="1135" t="s">
        <v>1285</v>
      </c>
      <c r="Q269" s="1136">
        <v>8</v>
      </c>
      <c r="R269" s="1137">
        <v>0.2</v>
      </c>
      <c r="S269" s="1138">
        <f>(H268/R269+1)</f>
        <v>8.5</v>
      </c>
      <c r="T269" s="1139">
        <f>(F268+G268+0.3)-(0.03*2)</f>
        <v>0.7</v>
      </c>
      <c r="U269" s="1131">
        <v>2</v>
      </c>
      <c r="V269" s="1139">
        <f>6*Q269/1000</f>
        <v>4.8000000000000001E-2</v>
      </c>
      <c r="W269" s="1140">
        <v>8</v>
      </c>
      <c r="X269" s="1122">
        <f>I268*(((((T269)+(V269*U269))*S269)*W269))</f>
        <v>54.127999999999993</v>
      </c>
      <c r="Y269" s="1141" t="s">
        <v>1286</v>
      </c>
      <c r="Z269" s="1142">
        <v>13</v>
      </c>
      <c r="AA269" s="1137">
        <v>0.15</v>
      </c>
      <c r="AB269" s="1138">
        <f>($G$19)/AA269+1</f>
        <v>2</v>
      </c>
      <c r="AC269" s="1139">
        <f>0.71+2.72</f>
        <v>3.43</v>
      </c>
      <c r="AD269" s="1131">
        <v>2</v>
      </c>
      <c r="AE269" s="1139">
        <f>6*Z269/1000</f>
        <v>7.8E-2</v>
      </c>
      <c r="AF269" s="1131">
        <v>2</v>
      </c>
      <c r="AG269" s="1143">
        <f t="shared" si="218"/>
        <v>1.04</v>
      </c>
      <c r="AH269" s="1140">
        <v>1</v>
      </c>
      <c r="AI269" s="1122">
        <f t="shared" ref="AI269:AI270" si="222">$J$11*((((AC269)+(AE269*AD269)+(AG269*AF269))*AH269)*AB269)</f>
        <v>90.656000000000006</v>
      </c>
      <c r="AJ269" s="1144">
        <f t="shared" si="219"/>
        <v>0</v>
      </c>
      <c r="AK269" s="1145">
        <f t="shared" si="220"/>
        <v>94.478661333333335</v>
      </c>
      <c r="AL269" s="1146">
        <f t="shared" si="221"/>
        <v>0</v>
      </c>
    </row>
    <row r="270" spans="1:38" ht="18.75">
      <c r="A270" s="1126"/>
      <c r="B270" s="1127"/>
      <c r="C270" s="1128"/>
      <c r="D270" s="1127"/>
      <c r="E270" s="1127"/>
      <c r="F270" s="1129"/>
      <c r="G270" s="1129"/>
      <c r="H270" s="1129"/>
      <c r="I270" s="1130"/>
      <c r="J270" s="1131"/>
      <c r="K270" s="1132"/>
      <c r="L270" s="1133">
        <f>I270*(F270*G270*H270)</f>
        <v>0</v>
      </c>
      <c r="M270" s="1127" t="s">
        <v>1288</v>
      </c>
      <c r="N270" s="1134"/>
      <c r="O270" s="1094"/>
      <c r="P270" s="1135"/>
      <c r="Q270" s="1136"/>
      <c r="R270" s="1137"/>
      <c r="S270" s="1138"/>
      <c r="T270" s="1139"/>
      <c r="U270" s="1131"/>
      <c r="V270" s="1139"/>
      <c r="W270" s="1140"/>
      <c r="X270" s="1122"/>
      <c r="Y270" s="1141" t="s">
        <v>1289</v>
      </c>
      <c r="Z270" s="1142">
        <v>13</v>
      </c>
      <c r="AA270" s="1137">
        <v>0.15</v>
      </c>
      <c r="AB270" s="1138">
        <f>($G$19)/AA270+1</f>
        <v>2</v>
      </c>
      <c r="AC270" s="1139">
        <v>2.11</v>
      </c>
      <c r="AD270" s="1131">
        <v>2</v>
      </c>
      <c r="AE270" s="1139">
        <f>6*Z270/1000</f>
        <v>7.8E-2</v>
      </c>
      <c r="AF270" s="1131">
        <v>2</v>
      </c>
      <c r="AG270" s="1143">
        <f t="shared" si="218"/>
        <v>1.04</v>
      </c>
      <c r="AH270" s="1140">
        <v>1</v>
      </c>
      <c r="AI270" s="1122">
        <f t="shared" si="222"/>
        <v>69.536000000000001</v>
      </c>
      <c r="AJ270" s="1144">
        <f t="shared" si="219"/>
        <v>0</v>
      </c>
      <c r="AK270" s="1145">
        <f t="shared" si="220"/>
        <v>72.468101333333337</v>
      </c>
      <c r="AL270" s="1146">
        <f t="shared" si="221"/>
        <v>0</v>
      </c>
    </row>
    <row r="271" spans="1:38" ht="18.75">
      <c r="A271" s="1126"/>
      <c r="B271" s="1127"/>
      <c r="C271" s="1128"/>
      <c r="D271" s="1127"/>
      <c r="E271" s="1127"/>
      <c r="F271" s="1129"/>
      <c r="G271" s="1129"/>
      <c r="H271" s="1129"/>
      <c r="I271" s="1130"/>
      <c r="J271" s="1131"/>
      <c r="K271" s="1132"/>
      <c r="L271" s="1133"/>
      <c r="M271" s="1127" t="s">
        <v>1290</v>
      </c>
      <c r="N271" s="1134"/>
      <c r="O271" s="1094"/>
      <c r="P271" s="1135"/>
      <c r="Q271" s="1136"/>
      <c r="R271" s="1137"/>
      <c r="S271" s="1138"/>
      <c r="T271" s="1139"/>
      <c r="U271" s="1131"/>
      <c r="V271" s="1139"/>
      <c r="W271" s="1140"/>
      <c r="X271" s="1145"/>
      <c r="Y271" s="1184" t="s">
        <v>1294</v>
      </c>
      <c r="Z271" s="1137">
        <v>13</v>
      </c>
      <c r="AA271" s="1137">
        <v>0.15</v>
      </c>
      <c r="AB271" s="1138">
        <f>($G$19)/AA271+1</f>
        <v>2</v>
      </c>
      <c r="AC271" s="1139">
        <v>0.71</v>
      </c>
      <c r="AD271" s="1131">
        <v>2</v>
      </c>
      <c r="AE271" s="1139">
        <f t="shared" ref="AE271:AE272" si="223">6*Z271/1000</f>
        <v>7.8E-2</v>
      </c>
      <c r="AF271" s="1131">
        <v>2</v>
      </c>
      <c r="AG271" s="1143">
        <f t="shared" si="218"/>
        <v>1.04</v>
      </c>
      <c r="AH271" s="1140">
        <v>2</v>
      </c>
      <c r="AI271" s="1122">
        <f>$J$11*((((AC271)+(AE271*AD271)+(AG271*AF271))*AH271)*AB271)</f>
        <v>94.272000000000006</v>
      </c>
      <c r="AJ271" s="1144">
        <f t="shared" si="219"/>
        <v>0</v>
      </c>
      <c r="AK271" s="1145">
        <f t="shared" si="220"/>
        <v>98.247136000000012</v>
      </c>
      <c r="AL271" s="1146">
        <f t="shared" si="221"/>
        <v>0</v>
      </c>
    </row>
    <row r="272" spans="1:38" ht="18.75">
      <c r="A272" s="1126"/>
      <c r="B272" s="1127"/>
      <c r="C272" s="1128"/>
      <c r="D272" s="1127"/>
      <c r="E272" s="1127"/>
      <c r="F272" s="1129"/>
      <c r="G272" s="1129"/>
      <c r="H272" s="1129"/>
      <c r="I272" s="1130"/>
      <c r="J272" s="1131"/>
      <c r="K272" s="1132"/>
      <c r="L272" s="1133"/>
      <c r="M272" s="1127" t="s">
        <v>1292</v>
      </c>
      <c r="N272" s="1134">
        <f>I269*(F269*H269)</f>
        <v>4.08</v>
      </c>
      <c r="O272" s="1094"/>
      <c r="P272" s="1135"/>
      <c r="Q272" s="1136"/>
      <c r="R272" s="1137"/>
      <c r="S272" s="1138"/>
      <c r="T272" s="1139"/>
      <c r="U272" s="1131"/>
      <c r="V272" s="1139"/>
      <c r="W272" s="1140"/>
      <c r="X272" s="1122"/>
      <c r="Y272" s="1141" t="s">
        <v>1291</v>
      </c>
      <c r="Z272" s="1142">
        <v>8</v>
      </c>
      <c r="AA272" s="1137">
        <v>0.15</v>
      </c>
      <c r="AB272" s="1138">
        <f>(H269)/AA272+1</f>
        <v>19.133333333333336</v>
      </c>
      <c r="AC272" s="1139">
        <f>(F269+0.3)-0.06</f>
        <v>1.74</v>
      </c>
      <c r="AD272" s="1131">
        <v>2</v>
      </c>
      <c r="AE272" s="1139">
        <f t="shared" si="223"/>
        <v>4.8000000000000001E-2</v>
      </c>
      <c r="AF272" s="1131">
        <v>0</v>
      </c>
      <c r="AG272" s="1143">
        <f t="shared" si="218"/>
        <v>0</v>
      </c>
      <c r="AH272" s="1140">
        <v>2</v>
      </c>
      <c r="AI272" s="1122">
        <f>$J$11*((((AC272)+(AE272*AD272)+(AG272*AF272))*AH272)*AB272)</f>
        <v>562.06080000000009</v>
      </c>
      <c r="AJ272" s="1144">
        <f t="shared" si="219"/>
        <v>0</v>
      </c>
      <c r="AK272" s="1145">
        <f t="shared" si="220"/>
        <v>0</v>
      </c>
      <c r="AL272" s="1146">
        <f t="shared" si="221"/>
        <v>0</v>
      </c>
    </row>
    <row r="273" spans="1:38" ht="19.5" thickBot="1">
      <c r="A273" s="1126"/>
      <c r="B273" s="1127"/>
      <c r="C273" s="1128"/>
      <c r="D273" s="1127"/>
      <c r="E273" s="1127"/>
      <c r="F273" s="1129"/>
      <c r="G273" s="1129"/>
      <c r="H273" s="1129"/>
      <c r="I273" s="1130"/>
      <c r="J273" s="1131"/>
      <c r="K273" s="1132"/>
      <c r="L273" s="1133"/>
      <c r="M273" s="1127"/>
      <c r="N273" s="1134"/>
      <c r="O273" s="1094"/>
      <c r="P273" s="1135"/>
      <c r="Q273" s="1136"/>
      <c r="R273" s="1137"/>
      <c r="S273" s="1138"/>
      <c r="T273" s="1139"/>
      <c r="U273" s="1131"/>
      <c r="V273" s="1139"/>
      <c r="W273" s="1140"/>
      <c r="X273" s="1122"/>
      <c r="Y273" s="1141"/>
      <c r="Z273" s="1142"/>
      <c r="AA273" s="1137"/>
      <c r="AB273" s="1138"/>
      <c r="AC273" s="1139"/>
      <c r="AD273" s="1131"/>
      <c r="AE273" s="1139"/>
      <c r="AF273" s="1131"/>
      <c r="AG273" s="1139"/>
      <c r="AH273" s="1140"/>
      <c r="AI273" s="1122"/>
      <c r="AJ273" s="1144">
        <f t="shared" si="219"/>
        <v>0</v>
      </c>
      <c r="AK273" s="1145">
        <f t="shared" si="220"/>
        <v>0</v>
      </c>
      <c r="AL273" s="1146">
        <f t="shared" si="221"/>
        <v>0</v>
      </c>
    </row>
    <row r="274" spans="1:38" ht="20.25" thickTop="1" thickBot="1">
      <c r="A274" s="1188"/>
      <c r="B274" s="1189"/>
      <c r="C274" s="1190"/>
      <c r="D274" s="1189"/>
      <c r="E274" s="1191" t="s">
        <v>468</v>
      </c>
      <c r="F274" s="1192"/>
      <c r="G274" s="1192"/>
      <c r="H274" s="1192"/>
      <c r="I274" s="1192"/>
      <c r="J274" s="1192"/>
      <c r="K274" s="1193"/>
      <c r="L274" s="1194">
        <f>SUM(L253:L273)</f>
        <v>3.5158499999999995</v>
      </c>
      <c r="M274" s="1189"/>
      <c r="N274" s="1194">
        <f>SUM(N253:N273)</f>
        <v>23.439</v>
      </c>
      <c r="O274" s="1195"/>
      <c r="P274" s="1196"/>
      <c r="Q274" s="1188"/>
      <c r="R274" s="1197"/>
      <c r="S274" s="1198"/>
      <c r="T274" s="1199"/>
      <c r="U274" s="1200"/>
      <c r="V274" s="1199"/>
      <c r="W274" s="1201"/>
      <c r="X274" s="1202"/>
      <c r="Y274" s="1203"/>
      <c r="Z274" s="1204"/>
      <c r="AA274" s="1197"/>
      <c r="AB274" s="1198"/>
      <c r="AC274" s="1199"/>
      <c r="AD274" s="1200"/>
      <c r="AE274" s="1199"/>
      <c r="AF274" s="1200"/>
      <c r="AG274" s="1199"/>
      <c r="AH274" s="1201"/>
      <c r="AI274" s="1202"/>
      <c r="AJ274" s="1205">
        <f>SUM(AJ253:AJ273)</f>
        <v>0</v>
      </c>
      <c r="AK274" s="1205">
        <f t="shared" ref="AK274:AL274" si="224">SUM(AK253:AK273)</f>
        <v>1195.4068533333334</v>
      </c>
      <c r="AL274" s="1206">
        <f t="shared" si="224"/>
        <v>0</v>
      </c>
    </row>
    <row r="275" spans="1:38" ht="20.25" thickTop="1" thickBot="1">
      <c r="A275" s="1136"/>
      <c r="B275" s="1148"/>
      <c r="C275" s="1128"/>
      <c r="D275" s="1127"/>
      <c r="E275" s="1127"/>
      <c r="F275" s="1129"/>
      <c r="G275" s="1129"/>
      <c r="H275" s="1129"/>
      <c r="I275" s="1181"/>
      <c r="J275" s="1131"/>
      <c r="K275" s="1132"/>
      <c r="L275" s="1133"/>
      <c r="M275" s="1127"/>
      <c r="N275" s="1134"/>
      <c r="O275" s="1094"/>
      <c r="P275" s="1182"/>
      <c r="Q275" s="1136"/>
      <c r="R275" s="1137"/>
      <c r="S275" s="1138"/>
      <c r="T275" s="1139"/>
      <c r="U275" s="1131"/>
      <c r="V275" s="1139"/>
      <c r="W275" s="1140"/>
      <c r="X275" s="1122"/>
      <c r="Y275" s="1183"/>
      <c r="Z275" s="1142"/>
      <c r="AA275" s="1137"/>
      <c r="AB275" s="1138"/>
      <c r="AC275" s="1139"/>
      <c r="AD275" s="1131"/>
      <c r="AE275" s="1139"/>
      <c r="AF275" s="1131"/>
      <c r="AG275" s="1139"/>
      <c r="AH275" s="1140"/>
      <c r="AI275" s="1122"/>
      <c r="AJ275" s="1144"/>
      <c r="AK275" s="1145"/>
      <c r="AL275" s="1207"/>
    </row>
    <row r="276" spans="1:38" ht="19.5" thickTop="1">
      <c r="A276" s="1136"/>
      <c r="B276" s="1166" t="s">
        <v>1277</v>
      </c>
      <c r="C276" s="1106" t="s">
        <v>1300</v>
      </c>
      <c r="D276" s="1127">
        <v>1</v>
      </c>
      <c r="E276" s="1127" t="s">
        <v>1279</v>
      </c>
      <c r="F276" s="1129">
        <v>0.3</v>
      </c>
      <c r="G276" s="1129">
        <v>0.16</v>
      </c>
      <c r="H276" s="1129">
        <v>1.5</v>
      </c>
      <c r="I276" s="1181">
        <v>1</v>
      </c>
      <c r="J276" s="1131">
        <v>8</v>
      </c>
      <c r="K276" s="1132"/>
      <c r="L276" s="1133">
        <f>I276*(((F276*G276*H276)/2)*J276)</f>
        <v>0.28800000000000003</v>
      </c>
      <c r="M276" s="1127" t="s">
        <v>1280</v>
      </c>
      <c r="N276" s="1134">
        <f>I276*(G276*H276*J276)</f>
        <v>1.92</v>
      </c>
      <c r="O276" s="1094"/>
      <c r="P276" s="1182" t="s">
        <v>1281</v>
      </c>
      <c r="Q276" s="1136">
        <v>8</v>
      </c>
      <c r="R276" s="1137"/>
      <c r="S276" s="1138">
        <v>1</v>
      </c>
      <c r="T276" s="1139">
        <f>(H276+0.4)-0.06</f>
        <v>1.8399999999999999</v>
      </c>
      <c r="U276" s="1131">
        <v>2</v>
      </c>
      <c r="V276" s="1139">
        <f>6*Q276/1000</f>
        <v>4.8000000000000001E-2</v>
      </c>
      <c r="W276" s="1140">
        <v>8</v>
      </c>
      <c r="X276" s="1122">
        <f>I276*((((T276)+(V276*U276)*S276)*W276))</f>
        <v>15.488</v>
      </c>
      <c r="Y276" s="1183" t="s">
        <v>1282</v>
      </c>
      <c r="Z276" s="1142">
        <v>13</v>
      </c>
      <c r="AA276" s="1137">
        <v>0.15</v>
      </c>
      <c r="AB276" s="1138">
        <f>($G$19)/AA276+1</f>
        <v>2</v>
      </c>
      <c r="AC276" s="1139">
        <v>3.77</v>
      </c>
      <c r="AD276" s="1131">
        <v>2</v>
      </c>
      <c r="AE276" s="1139">
        <f>6*Z276/1000</f>
        <v>7.8E-2</v>
      </c>
      <c r="AF276" s="1131">
        <v>2</v>
      </c>
      <c r="AG276" s="1143">
        <f t="shared" ref="AG276:AG280" si="225">(40*Z276/1000)*AF276</f>
        <v>1.04</v>
      </c>
      <c r="AH276" s="1140">
        <v>1</v>
      </c>
      <c r="AI276" s="1122">
        <f>$J$11*((((AC276)+(AE276*AD276)+(AG276*AF276))*AH276)*AB276)</f>
        <v>96.096000000000004</v>
      </c>
      <c r="AJ276" s="1144">
        <f t="shared" ref="AJ276:AJ281" si="226">((IF(Q276=$AK$7,X276,0)+(IF(Z276=$AK$7,AI276,0))))*$AK$9</f>
        <v>0</v>
      </c>
      <c r="AK276" s="1145">
        <f t="shared" ref="AK276:AK281" si="227">((IF(Q276=$AL$7,X276,0)+(IF(Z276=$AL$7,AI276,0))))*$AL$9</f>
        <v>100.148048</v>
      </c>
      <c r="AL276" s="1146">
        <f t="shared" ref="AL276:AL281" si="228">((IF(Q276=$AM$7,X276,0)+(IF(Z276=$AM$7,AI276,0))))*$AM$9</f>
        <v>0</v>
      </c>
    </row>
    <row r="277" spans="1:38" ht="18.75">
      <c r="A277" s="1126"/>
      <c r="B277" s="1127"/>
      <c r="C277" s="1128"/>
      <c r="D277" s="1127"/>
      <c r="E277" s="1127" t="s">
        <v>1283</v>
      </c>
      <c r="F277" s="1129">
        <v>1.5</v>
      </c>
      <c r="G277" s="1129">
        <v>0.15</v>
      </c>
      <c r="H277" s="1129">
        <v>2.4</v>
      </c>
      <c r="I277" s="1130">
        <v>1</v>
      </c>
      <c r="J277" s="1131"/>
      <c r="K277" s="1132"/>
      <c r="L277" s="1133">
        <f>I277*(F277*G277*H277)</f>
        <v>0.53999999999999992</v>
      </c>
      <c r="M277" s="1127" t="s">
        <v>1284</v>
      </c>
      <c r="N277" s="1134"/>
      <c r="O277" s="1094"/>
      <c r="P277" s="1135" t="s">
        <v>1285</v>
      </c>
      <c r="Q277" s="1136">
        <v>8</v>
      </c>
      <c r="R277" s="1137">
        <v>0.2</v>
      </c>
      <c r="S277" s="1138">
        <f>(H276/R277+1)</f>
        <v>8.5</v>
      </c>
      <c r="T277" s="1139">
        <f>(F276+G276+0.3)-(0.03*2)</f>
        <v>0.7</v>
      </c>
      <c r="U277" s="1131">
        <v>2</v>
      </c>
      <c r="V277" s="1139">
        <f>6*Q277/1000</f>
        <v>4.8000000000000001E-2</v>
      </c>
      <c r="W277" s="1140">
        <v>8</v>
      </c>
      <c r="X277" s="1122">
        <f>I276*(((((T277)+(V277*U277))*S277)*W277))</f>
        <v>54.127999999999993</v>
      </c>
      <c r="Y277" s="1141" t="s">
        <v>1286</v>
      </c>
      <c r="Z277" s="1142">
        <v>13</v>
      </c>
      <c r="AA277" s="1137">
        <v>0.15</v>
      </c>
      <c r="AB277" s="1138">
        <f>($G$19)/AA277+1</f>
        <v>2</v>
      </c>
      <c r="AC277" s="1139">
        <v>4.12</v>
      </c>
      <c r="AD277" s="1131">
        <v>2</v>
      </c>
      <c r="AE277" s="1139">
        <f>6*Z277/1000</f>
        <v>7.8E-2</v>
      </c>
      <c r="AF277" s="1131">
        <v>2</v>
      </c>
      <c r="AG277" s="1143">
        <f t="shared" si="225"/>
        <v>1.04</v>
      </c>
      <c r="AH277" s="1140">
        <v>1</v>
      </c>
      <c r="AI277" s="1122">
        <f t="shared" ref="AI277:AI278" si="229">$J$11*((((AC277)+(AE277*AD277)+(AG277*AF277))*AH277)*AB277)</f>
        <v>101.696</v>
      </c>
      <c r="AJ277" s="1144">
        <f t="shared" si="226"/>
        <v>0</v>
      </c>
      <c r="AK277" s="1145">
        <f t="shared" si="227"/>
        <v>105.98418133333334</v>
      </c>
      <c r="AL277" s="1146">
        <f t="shared" si="228"/>
        <v>0</v>
      </c>
    </row>
    <row r="278" spans="1:38" ht="18.75">
      <c r="A278" s="1126"/>
      <c r="B278" s="1127"/>
      <c r="C278" s="1128"/>
      <c r="D278" s="1127"/>
      <c r="E278" s="1127" t="s">
        <v>1287</v>
      </c>
      <c r="F278" s="1129">
        <v>1.5</v>
      </c>
      <c r="G278" s="1129">
        <v>0.15</v>
      </c>
      <c r="H278" s="1129">
        <v>1.536</v>
      </c>
      <c r="I278" s="1130">
        <v>1</v>
      </c>
      <c r="J278" s="1131"/>
      <c r="K278" s="1132"/>
      <c r="L278" s="1133">
        <f>I278*(F278*G278*H278)</f>
        <v>0.34559999999999996</v>
      </c>
      <c r="M278" s="1127" t="s">
        <v>1288</v>
      </c>
      <c r="N278" s="1134"/>
      <c r="O278" s="1094"/>
      <c r="P278" s="1135"/>
      <c r="Q278" s="1136"/>
      <c r="R278" s="1137"/>
      <c r="S278" s="1138"/>
      <c r="T278" s="1139"/>
      <c r="U278" s="1131"/>
      <c r="V278" s="1139"/>
      <c r="W278" s="1140"/>
      <c r="X278" s="1122"/>
      <c r="Y278" s="1141" t="s">
        <v>1289</v>
      </c>
      <c r="Z278" s="1142">
        <v>13</v>
      </c>
      <c r="AA278" s="1137">
        <v>0.15</v>
      </c>
      <c r="AB278" s="1138">
        <f>($G$19)/AA278+1</f>
        <v>2</v>
      </c>
      <c r="AC278" s="1139">
        <v>1.37</v>
      </c>
      <c r="AD278" s="1131">
        <v>2</v>
      </c>
      <c r="AE278" s="1139">
        <f>6*Z278/1000</f>
        <v>7.8E-2</v>
      </c>
      <c r="AF278" s="1131">
        <v>2</v>
      </c>
      <c r="AG278" s="1143">
        <f t="shared" si="225"/>
        <v>1.04</v>
      </c>
      <c r="AH278" s="1140">
        <v>1</v>
      </c>
      <c r="AI278" s="1122">
        <f t="shared" si="229"/>
        <v>57.695999999999998</v>
      </c>
      <c r="AJ278" s="1144">
        <f t="shared" si="226"/>
        <v>0</v>
      </c>
      <c r="AK278" s="1145">
        <f t="shared" si="227"/>
        <v>60.128847999999998</v>
      </c>
      <c r="AL278" s="1146">
        <f t="shared" si="228"/>
        <v>0</v>
      </c>
    </row>
    <row r="279" spans="1:38" ht="18.75">
      <c r="A279" s="1126"/>
      <c r="B279" s="1127"/>
      <c r="C279" s="1128"/>
      <c r="D279" s="1127"/>
      <c r="E279" s="1127"/>
      <c r="F279" s="1129"/>
      <c r="G279" s="1129"/>
      <c r="H279" s="1129"/>
      <c r="I279" s="1130"/>
      <c r="J279" s="1131"/>
      <c r="K279" s="1132"/>
      <c r="L279" s="1133"/>
      <c r="M279" s="1127" t="s">
        <v>1290</v>
      </c>
      <c r="N279" s="1134"/>
      <c r="O279" s="1094"/>
      <c r="P279" s="1135"/>
      <c r="Q279" s="1136"/>
      <c r="R279" s="1137"/>
      <c r="S279" s="1138"/>
      <c r="T279" s="1139"/>
      <c r="U279" s="1131"/>
      <c r="V279" s="1139"/>
      <c r="W279" s="1140"/>
      <c r="X279" s="1145"/>
      <c r="Y279" s="1184" t="s">
        <v>1294</v>
      </c>
      <c r="Z279" s="1137">
        <v>13</v>
      </c>
      <c r="AA279" s="1137">
        <v>0.15</v>
      </c>
      <c r="AB279" s="1138">
        <f>($G$19)/AA279+1</f>
        <v>2</v>
      </c>
      <c r="AC279" s="1139">
        <v>1.74</v>
      </c>
      <c r="AD279" s="1131">
        <v>2</v>
      </c>
      <c r="AE279" s="1139">
        <f t="shared" ref="AE279:AE280" si="230">6*Z279/1000</f>
        <v>7.8E-2</v>
      </c>
      <c r="AF279" s="1131">
        <v>2</v>
      </c>
      <c r="AG279" s="1143">
        <f t="shared" si="225"/>
        <v>1.04</v>
      </c>
      <c r="AH279" s="1140">
        <v>2</v>
      </c>
      <c r="AI279" s="1122">
        <f>$J$11*((((AC279)+(AE279*AD279)+(AG279*AF279))*AH279)*AB279)</f>
        <v>127.232</v>
      </c>
      <c r="AJ279" s="1144">
        <f t="shared" si="226"/>
        <v>0</v>
      </c>
      <c r="AK279" s="1145">
        <f t="shared" si="227"/>
        <v>132.59694933333333</v>
      </c>
      <c r="AL279" s="1146">
        <f t="shared" si="228"/>
        <v>0</v>
      </c>
    </row>
    <row r="280" spans="1:38" ht="18.75">
      <c r="A280" s="1126"/>
      <c r="B280" s="1127"/>
      <c r="C280" s="1128"/>
      <c r="D280" s="1127"/>
      <c r="E280" s="1127"/>
      <c r="F280" s="1129"/>
      <c r="G280" s="1129"/>
      <c r="H280" s="1129"/>
      <c r="I280" s="1130"/>
      <c r="J280" s="1131"/>
      <c r="K280" s="1132"/>
      <c r="L280" s="1133"/>
      <c r="M280" s="1127" t="s">
        <v>1292</v>
      </c>
      <c r="N280" s="1134">
        <f>I277*(F277*H277)</f>
        <v>3.5999999999999996</v>
      </c>
      <c r="O280" s="1094"/>
      <c r="P280" s="1135"/>
      <c r="Q280" s="1136"/>
      <c r="R280" s="1137"/>
      <c r="S280" s="1138"/>
      <c r="T280" s="1139"/>
      <c r="U280" s="1131"/>
      <c r="V280" s="1139"/>
      <c r="W280" s="1140"/>
      <c r="X280" s="1122"/>
      <c r="Y280" s="1141" t="s">
        <v>1291</v>
      </c>
      <c r="Z280" s="1142">
        <v>8</v>
      </c>
      <c r="AA280" s="1137">
        <v>0.15</v>
      </c>
      <c r="AB280" s="1138">
        <f>(H277)/AA280+1</f>
        <v>17</v>
      </c>
      <c r="AC280" s="1139">
        <f>(F277+0.3)-0.06</f>
        <v>1.74</v>
      </c>
      <c r="AD280" s="1131">
        <v>2</v>
      </c>
      <c r="AE280" s="1139">
        <f t="shared" si="230"/>
        <v>4.8000000000000001E-2</v>
      </c>
      <c r="AF280" s="1131">
        <v>0</v>
      </c>
      <c r="AG280" s="1143">
        <f t="shared" si="225"/>
        <v>0</v>
      </c>
      <c r="AH280" s="1140">
        <v>2</v>
      </c>
      <c r="AI280" s="1122">
        <f>$J$11*((((AC280)+(AE280*AD280)+(AG280*AF280))*AH280)*AB280)</f>
        <v>499.392</v>
      </c>
      <c r="AJ280" s="1144">
        <f t="shared" si="226"/>
        <v>0</v>
      </c>
      <c r="AK280" s="1145">
        <f t="shared" si="227"/>
        <v>0</v>
      </c>
      <c r="AL280" s="1146">
        <f t="shared" si="228"/>
        <v>0</v>
      </c>
    </row>
    <row r="281" spans="1:38" ht="18.75">
      <c r="A281" s="1126"/>
      <c r="B281" s="1127"/>
      <c r="C281" s="1128"/>
      <c r="D281" s="1127"/>
      <c r="E281" s="1127"/>
      <c r="F281" s="1129"/>
      <c r="G281" s="1129"/>
      <c r="H281" s="1129"/>
      <c r="I281" s="1130"/>
      <c r="J281" s="1131"/>
      <c r="K281" s="1132"/>
      <c r="L281" s="1133"/>
      <c r="M281" s="1127" t="s">
        <v>1293</v>
      </c>
      <c r="N281" s="1134">
        <f>I278*(F278*H278)</f>
        <v>2.3040000000000003</v>
      </c>
      <c r="O281" s="1094"/>
      <c r="P281" s="1135"/>
      <c r="Q281" s="1136"/>
      <c r="R281" s="1137"/>
      <c r="S281" s="1138"/>
      <c r="T281" s="1139"/>
      <c r="U281" s="1131"/>
      <c r="V281" s="1139"/>
      <c r="W281" s="1140"/>
      <c r="X281" s="1122"/>
      <c r="Y281" s="1141"/>
      <c r="Z281" s="1142"/>
      <c r="AA281" s="1137"/>
      <c r="AB281" s="1138"/>
      <c r="AC281" s="1139"/>
      <c r="AD281" s="1131"/>
      <c r="AE281" s="1139"/>
      <c r="AF281" s="1131"/>
      <c r="AG281" s="1139"/>
      <c r="AH281" s="1140"/>
      <c r="AI281" s="1122"/>
      <c r="AJ281" s="1144">
        <f t="shared" si="226"/>
        <v>0</v>
      </c>
      <c r="AK281" s="1145">
        <f t="shared" si="227"/>
        <v>0</v>
      </c>
      <c r="AL281" s="1146">
        <f t="shared" si="228"/>
        <v>0</v>
      </c>
    </row>
    <row r="282" spans="1:38" ht="18.75">
      <c r="A282" s="1126"/>
      <c r="B282" s="1127"/>
      <c r="C282" s="1128"/>
      <c r="D282" s="1127"/>
      <c r="E282" s="1127"/>
      <c r="F282" s="1168"/>
      <c r="G282" s="1168"/>
      <c r="H282" s="1168"/>
      <c r="I282" s="1130"/>
      <c r="J282" s="1169"/>
      <c r="K282" s="1132"/>
      <c r="L282" s="1133"/>
      <c r="M282" s="1127"/>
      <c r="N282" s="1134"/>
      <c r="O282" s="1094"/>
      <c r="P282" s="1135"/>
      <c r="Q282" s="1136"/>
      <c r="R282" s="1137"/>
      <c r="S282" s="1138"/>
      <c r="T282" s="1139"/>
      <c r="U282" s="1131"/>
      <c r="V282" s="1139"/>
      <c r="W282" s="1140"/>
      <c r="X282" s="1122"/>
      <c r="Y282" s="1141"/>
      <c r="Z282" s="1142"/>
      <c r="AA282" s="1137"/>
      <c r="AB282" s="1138"/>
      <c r="AC282" s="1139"/>
      <c r="AD282" s="1131"/>
      <c r="AE282" s="1139"/>
      <c r="AF282" s="1131"/>
      <c r="AG282" s="1139"/>
      <c r="AH282" s="1140"/>
      <c r="AI282" s="1122"/>
      <c r="AJ282" s="1144"/>
      <c r="AK282" s="1145"/>
      <c r="AL282" s="1146"/>
    </row>
    <row r="283" spans="1:38" ht="18.75">
      <c r="A283" s="1136"/>
      <c r="B283" s="1166"/>
      <c r="C283" s="1128"/>
      <c r="D283" s="1127">
        <v>2</v>
      </c>
      <c r="E283" s="1127" t="s">
        <v>1279</v>
      </c>
      <c r="F283" s="1129">
        <v>0.3</v>
      </c>
      <c r="G283" s="1129">
        <v>0.16</v>
      </c>
      <c r="H283" s="1129">
        <v>1.5</v>
      </c>
      <c r="I283" s="1181">
        <v>1</v>
      </c>
      <c r="J283" s="1131">
        <v>9</v>
      </c>
      <c r="K283" s="1132"/>
      <c r="L283" s="1133">
        <f>I283*(((F283*G283*H283)/2)*J283)</f>
        <v>0.32400000000000007</v>
      </c>
      <c r="M283" s="1127" t="s">
        <v>1280</v>
      </c>
      <c r="N283" s="1134">
        <f>I283*(G283*H283*J283)</f>
        <v>2.16</v>
      </c>
      <c r="O283" s="1094"/>
      <c r="P283" s="1182" t="s">
        <v>1281</v>
      </c>
      <c r="Q283" s="1136">
        <v>8</v>
      </c>
      <c r="R283" s="1137"/>
      <c r="S283" s="1138">
        <v>1</v>
      </c>
      <c r="T283" s="1139">
        <f>(H283+0.4)-0.06</f>
        <v>1.8399999999999999</v>
      </c>
      <c r="U283" s="1131">
        <v>2</v>
      </c>
      <c r="V283" s="1139">
        <f>6*Q283/1000</f>
        <v>4.8000000000000001E-2</v>
      </c>
      <c r="W283" s="1140">
        <v>9</v>
      </c>
      <c r="X283" s="1122">
        <f>I283*((((T283)+(V283*U283)*S283)*W283))</f>
        <v>17.423999999999999</v>
      </c>
      <c r="Y283" s="1183" t="s">
        <v>1282</v>
      </c>
      <c r="Z283" s="1142">
        <v>13</v>
      </c>
      <c r="AA283" s="1137">
        <v>0.15</v>
      </c>
      <c r="AB283" s="1138">
        <f>($G$19)/AA283+1</f>
        <v>2</v>
      </c>
      <c r="AC283" s="1139">
        <f>1.5+3.06</f>
        <v>4.5600000000000005</v>
      </c>
      <c r="AD283" s="1131">
        <v>2</v>
      </c>
      <c r="AE283" s="1139">
        <f>6*Z283/1000</f>
        <v>7.8E-2</v>
      </c>
      <c r="AF283" s="1131">
        <v>2</v>
      </c>
      <c r="AG283" s="1143">
        <f t="shared" ref="AG283:AG287" si="231">(40*Z283/1000)*AF283</f>
        <v>1.04</v>
      </c>
      <c r="AH283" s="1140">
        <v>1</v>
      </c>
      <c r="AI283" s="1122">
        <f>$J$11*((((AC283)+(AE283*AD283)+(AG283*AF283))*AH283)*AB283)</f>
        <v>108.736</v>
      </c>
      <c r="AJ283" s="1144">
        <f t="shared" ref="AJ283:AJ288" si="232">((IF(Q283=$AK$7,X283,0)+(IF(Z283=$AK$7,AI283,0))))*$AK$9</f>
        <v>0</v>
      </c>
      <c r="AK283" s="1145">
        <f t="shared" ref="AK283:AK288" si="233">((IF(Q283=$AL$7,X283,0)+(IF(Z283=$AL$7,AI283,0))))*$AL$9</f>
        <v>113.32103466666668</v>
      </c>
      <c r="AL283" s="1146">
        <f t="shared" ref="AL283:AL288" si="234">((IF(Q283=$AM$7,X283,0)+(IF(Z283=$AM$7,AI283,0))))*$AM$9</f>
        <v>0</v>
      </c>
    </row>
    <row r="284" spans="1:38" ht="18.75">
      <c r="A284" s="1126"/>
      <c r="B284" s="1127"/>
      <c r="C284" s="1128"/>
      <c r="D284" s="1127"/>
      <c r="E284" s="1127" t="s">
        <v>1283</v>
      </c>
      <c r="F284" s="1129">
        <v>1.5</v>
      </c>
      <c r="G284" s="1129">
        <v>0.15</v>
      </c>
      <c r="H284" s="1129">
        <f>0.34*9</f>
        <v>3.06</v>
      </c>
      <c r="I284" s="1130">
        <v>1</v>
      </c>
      <c r="J284" s="1131"/>
      <c r="K284" s="1132"/>
      <c r="L284" s="1133">
        <f>I284*(F284*G284*H284)</f>
        <v>0.68849999999999989</v>
      </c>
      <c r="M284" s="1127" t="s">
        <v>1284</v>
      </c>
      <c r="N284" s="1134"/>
      <c r="O284" s="1094"/>
      <c r="P284" s="1135" t="s">
        <v>1285</v>
      </c>
      <c r="Q284" s="1136">
        <v>8</v>
      </c>
      <c r="R284" s="1137">
        <v>0.2</v>
      </c>
      <c r="S284" s="1138">
        <f>(H283/R284+1)</f>
        <v>8.5</v>
      </c>
      <c r="T284" s="1139">
        <f>(F283+G283+0.3)-(0.03*2)</f>
        <v>0.7</v>
      </c>
      <c r="U284" s="1131">
        <v>2</v>
      </c>
      <c r="V284" s="1139">
        <f>6*Q284/1000</f>
        <v>4.8000000000000001E-2</v>
      </c>
      <c r="W284" s="1140">
        <v>9</v>
      </c>
      <c r="X284" s="1122">
        <f>I283*(((((T284)+(V284*U284))*S284)*W284))</f>
        <v>60.893999999999991</v>
      </c>
      <c r="Y284" s="1141" t="s">
        <v>1286</v>
      </c>
      <c r="Z284" s="1142">
        <v>13</v>
      </c>
      <c r="AA284" s="1137">
        <v>0.15</v>
      </c>
      <c r="AB284" s="1138">
        <f>($G$19)/AA284+1</f>
        <v>2</v>
      </c>
      <c r="AC284" s="1139">
        <f>1.5+3.06</f>
        <v>4.5600000000000005</v>
      </c>
      <c r="AD284" s="1131">
        <v>2</v>
      </c>
      <c r="AE284" s="1139">
        <f>6*Z284/1000</f>
        <v>7.8E-2</v>
      </c>
      <c r="AF284" s="1131">
        <v>2</v>
      </c>
      <c r="AG284" s="1143">
        <f t="shared" si="231"/>
        <v>1.04</v>
      </c>
      <c r="AH284" s="1140">
        <v>1</v>
      </c>
      <c r="AI284" s="1122">
        <f t="shared" ref="AI284:AI285" si="235">$J$11*((((AC284)+(AE284*AD284)+(AG284*AF284))*AH284)*AB284)</f>
        <v>108.736</v>
      </c>
      <c r="AJ284" s="1144">
        <f t="shared" si="232"/>
        <v>0</v>
      </c>
      <c r="AK284" s="1145">
        <f t="shared" si="233"/>
        <v>113.32103466666668</v>
      </c>
      <c r="AL284" s="1146">
        <f t="shared" si="234"/>
        <v>0</v>
      </c>
    </row>
    <row r="285" spans="1:38" ht="18.75">
      <c r="A285" s="1126"/>
      <c r="B285" s="1127"/>
      <c r="C285" s="1128"/>
      <c r="D285" s="1127"/>
      <c r="E285" s="1127" t="s">
        <v>1287</v>
      </c>
      <c r="F285" s="1129">
        <v>1.5</v>
      </c>
      <c r="G285" s="1129">
        <v>0.15</v>
      </c>
      <c r="H285" s="1129">
        <v>1.91</v>
      </c>
      <c r="I285" s="1130">
        <v>1</v>
      </c>
      <c r="J285" s="1131"/>
      <c r="K285" s="1132"/>
      <c r="L285" s="1133">
        <f>I285*(F285*G285*H285)</f>
        <v>0.42974999999999997</v>
      </c>
      <c r="M285" s="1127" t="s">
        <v>1288</v>
      </c>
      <c r="N285" s="1134"/>
      <c r="O285" s="1094"/>
      <c r="P285" s="1135"/>
      <c r="Q285" s="1136"/>
      <c r="R285" s="1137"/>
      <c r="S285" s="1138"/>
      <c r="T285" s="1139"/>
      <c r="U285" s="1131"/>
      <c r="V285" s="1139"/>
      <c r="W285" s="1140"/>
      <c r="X285" s="1122"/>
      <c r="Y285" s="1141" t="s">
        <v>1289</v>
      </c>
      <c r="Z285" s="1142">
        <v>13</v>
      </c>
      <c r="AA285" s="1137">
        <v>0.15</v>
      </c>
      <c r="AB285" s="1138">
        <f>($G$19)/AA285+1</f>
        <v>2</v>
      </c>
      <c r="AC285" s="1139">
        <v>1.5</v>
      </c>
      <c r="AD285" s="1131">
        <v>2</v>
      </c>
      <c r="AE285" s="1139">
        <f>6*Z285/1000</f>
        <v>7.8E-2</v>
      </c>
      <c r="AF285" s="1131">
        <v>2</v>
      </c>
      <c r="AG285" s="1143">
        <f t="shared" si="231"/>
        <v>1.04</v>
      </c>
      <c r="AH285" s="1140">
        <v>1</v>
      </c>
      <c r="AI285" s="1122">
        <f t="shared" si="235"/>
        <v>59.775999999999996</v>
      </c>
      <c r="AJ285" s="1144">
        <f t="shared" si="232"/>
        <v>0</v>
      </c>
      <c r="AK285" s="1145">
        <f t="shared" si="233"/>
        <v>62.296554666666665</v>
      </c>
      <c r="AL285" s="1146">
        <f t="shared" si="234"/>
        <v>0</v>
      </c>
    </row>
    <row r="286" spans="1:38" ht="18.75">
      <c r="A286" s="1126"/>
      <c r="B286" s="1127"/>
      <c r="C286" s="1128"/>
      <c r="D286" s="1127"/>
      <c r="E286" s="1127"/>
      <c r="F286" s="1129"/>
      <c r="G286" s="1129"/>
      <c r="H286" s="1129"/>
      <c r="I286" s="1130"/>
      <c r="J286" s="1131"/>
      <c r="K286" s="1132"/>
      <c r="L286" s="1133"/>
      <c r="M286" s="1127" t="s">
        <v>1290</v>
      </c>
      <c r="N286" s="1134"/>
      <c r="O286" s="1094"/>
      <c r="P286" s="1135"/>
      <c r="Q286" s="1136"/>
      <c r="R286" s="1137"/>
      <c r="S286" s="1138"/>
      <c r="T286" s="1139"/>
      <c r="U286" s="1131"/>
      <c r="V286" s="1139"/>
      <c r="W286" s="1140"/>
      <c r="X286" s="1145"/>
      <c r="Y286" s="1184" t="s">
        <v>1294</v>
      </c>
      <c r="Z286" s="1137">
        <v>13</v>
      </c>
      <c r="AA286" s="1137">
        <v>0.15</v>
      </c>
      <c r="AB286" s="1138">
        <f>($G$19)/AA286+1</f>
        <v>2</v>
      </c>
      <c r="AC286" s="1139">
        <v>1.5</v>
      </c>
      <c r="AD286" s="1131">
        <v>2</v>
      </c>
      <c r="AE286" s="1139">
        <f t="shared" ref="AE286:AE287" si="236">6*Z286/1000</f>
        <v>7.8E-2</v>
      </c>
      <c r="AF286" s="1131">
        <v>2</v>
      </c>
      <c r="AG286" s="1143">
        <f t="shared" si="231"/>
        <v>1.04</v>
      </c>
      <c r="AH286" s="1140">
        <v>2</v>
      </c>
      <c r="AI286" s="1122">
        <f>$J$11*((((AC286)+(AE286*AD286)+(AG286*AF286))*AH286)*AB286)</f>
        <v>119.55199999999999</v>
      </c>
      <c r="AJ286" s="1144">
        <f t="shared" si="232"/>
        <v>0</v>
      </c>
      <c r="AK286" s="1145">
        <f t="shared" si="233"/>
        <v>124.59310933333333</v>
      </c>
      <c r="AL286" s="1146">
        <f t="shared" si="234"/>
        <v>0</v>
      </c>
    </row>
    <row r="287" spans="1:38" ht="18.75">
      <c r="A287" s="1126"/>
      <c r="B287" s="1127"/>
      <c r="C287" s="1128"/>
      <c r="D287" s="1127"/>
      <c r="E287" s="1127"/>
      <c r="F287" s="1129"/>
      <c r="G287" s="1129"/>
      <c r="H287" s="1129"/>
      <c r="I287" s="1130"/>
      <c r="J287" s="1131"/>
      <c r="K287" s="1132"/>
      <c r="L287" s="1133"/>
      <c r="M287" s="1127" t="s">
        <v>1292</v>
      </c>
      <c r="N287" s="1134">
        <f>I284*(F284*H284)</f>
        <v>4.59</v>
      </c>
      <c r="O287" s="1094"/>
      <c r="P287" s="1135"/>
      <c r="Q287" s="1136"/>
      <c r="R287" s="1137"/>
      <c r="S287" s="1138"/>
      <c r="T287" s="1139"/>
      <c r="U287" s="1131"/>
      <c r="V287" s="1139"/>
      <c r="W287" s="1140"/>
      <c r="X287" s="1122"/>
      <c r="Y287" s="1141" t="s">
        <v>1291</v>
      </c>
      <c r="Z287" s="1142">
        <v>8</v>
      </c>
      <c r="AA287" s="1137">
        <v>0.15</v>
      </c>
      <c r="AB287" s="1138">
        <f>(H284)/AA287+1</f>
        <v>21.400000000000002</v>
      </c>
      <c r="AC287" s="1139">
        <f>(F284+0.3)-0.06</f>
        <v>1.74</v>
      </c>
      <c r="AD287" s="1131">
        <v>2</v>
      </c>
      <c r="AE287" s="1139">
        <f t="shared" si="236"/>
        <v>4.8000000000000001E-2</v>
      </c>
      <c r="AF287" s="1131">
        <v>0</v>
      </c>
      <c r="AG287" s="1143">
        <f t="shared" si="231"/>
        <v>0</v>
      </c>
      <c r="AH287" s="1140">
        <v>2</v>
      </c>
      <c r="AI287" s="1122">
        <f>$J$11*((((AC287)+(AE287*AD287)+(AG287*AF287))*AH287)*AB287)</f>
        <v>628.64640000000009</v>
      </c>
      <c r="AJ287" s="1144">
        <f t="shared" si="232"/>
        <v>0</v>
      </c>
      <c r="AK287" s="1145">
        <f t="shared" si="233"/>
        <v>0</v>
      </c>
      <c r="AL287" s="1146">
        <f t="shared" si="234"/>
        <v>0</v>
      </c>
    </row>
    <row r="288" spans="1:38" ht="18.75">
      <c r="A288" s="1126"/>
      <c r="B288" s="1127"/>
      <c r="C288" s="1128"/>
      <c r="D288" s="1127"/>
      <c r="E288" s="1127"/>
      <c r="F288" s="1129"/>
      <c r="G288" s="1129"/>
      <c r="H288" s="1129"/>
      <c r="I288" s="1130"/>
      <c r="J288" s="1131"/>
      <c r="K288" s="1132"/>
      <c r="L288" s="1133"/>
      <c r="M288" s="1127" t="s">
        <v>1293</v>
      </c>
      <c r="N288" s="1134">
        <f>I285*(F285*H285)</f>
        <v>2.8649999999999998</v>
      </c>
      <c r="O288" s="1094"/>
      <c r="P288" s="1135"/>
      <c r="Q288" s="1136"/>
      <c r="R288" s="1137"/>
      <c r="S288" s="1138"/>
      <c r="T288" s="1139"/>
      <c r="U288" s="1131"/>
      <c r="V288" s="1139"/>
      <c r="W288" s="1140"/>
      <c r="X288" s="1122"/>
      <c r="Y288" s="1141"/>
      <c r="Z288" s="1142"/>
      <c r="AA288" s="1137"/>
      <c r="AB288" s="1138"/>
      <c r="AC288" s="1139"/>
      <c r="AD288" s="1131"/>
      <c r="AE288" s="1139"/>
      <c r="AF288" s="1131"/>
      <c r="AG288" s="1139"/>
      <c r="AH288" s="1140"/>
      <c r="AI288" s="1122"/>
      <c r="AJ288" s="1144">
        <f t="shared" si="232"/>
        <v>0</v>
      </c>
      <c r="AK288" s="1145">
        <f t="shared" si="233"/>
        <v>0</v>
      </c>
      <c r="AL288" s="1146">
        <f t="shared" si="234"/>
        <v>0</v>
      </c>
    </row>
    <row r="289" spans="1:38" ht="18.75">
      <c r="A289" s="1126"/>
      <c r="B289" s="1127"/>
      <c r="C289" s="1128"/>
      <c r="D289" s="1127"/>
      <c r="E289" s="1127"/>
      <c r="F289" s="1168"/>
      <c r="G289" s="1168"/>
      <c r="H289" s="1168"/>
      <c r="I289" s="1130"/>
      <c r="J289" s="1169"/>
      <c r="K289" s="1132"/>
      <c r="L289" s="1133"/>
      <c r="M289" s="1127"/>
      <c r="N289" s="1134"/>
      <c r="O289" s="1094"/>
      <c r="P289" s="1135"/>
      <c r="Q289" s="1136"/>
      <c r="R289" s="1137"/>
      <c r="S289" s="1138"/>
      <c r="T289" s="1139"/>
      <c r="U289" s="1131"/>
      <c r="V289" s="1139"/>
      <c r="W289" s="1140"/>
      <c r="X289" s="1122"/>
      <c r="Y289" s="1141"/>
      <c r="Z289" s="1142"/>
      <c r="AA289" s="1137"/>
      <c r="AB289" s="1138"/>
      <c r="AC289" s="1139"/>
      <c r="AD289" s="1131"/>
      <c r="AE289" s="1139"/>
      <c r="AF289" s="1131"/>
      <c r="AG289" s="1139"/>
      <c r="AH289" s="1140"/>
      <c r="AI289" s="1122"/>
      <c r="AJ289" s="1144"/>
      <c r="AK289" s="1145"/>
      <c r="AL289" s="1146"/>
    </row>
    <row r="290" spans="1:38" ht="18.75">
      <c r="A290" s="1136"/>
      <c r="B290" s="1166"/>
      <c r="C290" s="1128"/>
      <c r="D290" s="1127">
        <v>3</v>
      </c>
      <c r="E290" s="1127" t="s">
        <v>1279</v>
      </c>
      <c r="F290" s="1129">
        <v>0.3</v>
      </c>
      <c r="G290" s="1129">
        <v>0.16</v>
      </c>
      <c r="H290" s="1129">
        <v>1.5</v>
      </c>
      <c r="I290" s="1181">
        <v>1</v>
      </c>
      <c r="J290" s="1131">
        <v>8</v>
      </c>
      <c r="K290" s="1132"/>
      <c r="L290" s="1133">
        <f>I290*(((F290*G290*H290)/2)*J290)</f>
        <v>0.28800000000000003</v>
      </c>
      <c r="M290" s="1127" t="s">
        <v>1280</v>
      </c>
      <c r="N290" s="1134">
        <f>I290*(G290*H290*J290)</f>
        <v>1.92</v>
      </c>
      <c r="O290" s="1094"/>
      <c r="P290" s="1182" t="s">
        <v>1281</v>
      </c>
      <c r="Q290" s="1136">
        <v>8</v>
      </c>
      <c r="R290" s="1137"/>
      <c r="S290" s="1138">
        <v>1</v>
      </c>
      <c r="T290" s="1139">
        <f>(H290+0.4)-0.06</f>
        <v>1.8399999999999999</v>
      </c>
      <c r="U290" s="1131">
        <v>2</v>
      </c>
      <c r="V290" s="1139">
        <f>6*Q290/1000</f>
        <v>4.8000000000000001E-2</v>
      </c>
      <c r="W290" s="1140">
        <v>8</v>
      </c>
      <c r="X290" s="1122">
        <f>I290*((((T290)+(V290*U290)*S290)*W290))</f>
        <v>15.488</v>
      </c>
      <c r="Y290" s="1183" t="s">
        <v>1282</v>
      </c>
      <c r="Z290" s="1142">
        <v>13</v>
      </c>
      <c r="AA290" s="1137">
        <v>0.15</v>
      </c>
      <c r="AB290" s="1138">
        <f>($G$19)/AA290+1</f>
        <v>2</v>
      </c>
      <c r="AC290" s="1139">
        <v>4.83</v>
      </c>
      <c r="AD290" s="1131">
        <v>2</v>
      </c>
      <c r="AE290" s="1139">
        <f>6*Z290/1000</f>
        <v>7.8E-2</v>
      </c>
      <c r="AF290" s="1131">
        <v>2</v>
      </c>
      <c r="AG290" s="1143">
        <f t="shared" ref="AG290:AG294" si="237">(40*Z290/1000)*AF290</f>
        <v>1.04</v>
      </c>
      <c r="AH290" s="1140">
        <v>1</v>
      </c>
      <c r="AI290" s="1122">
        <f>$J$11*((((AC290)+(AE290*AD290)+(AG290*AF290))*AH290)*AB290)</f>
        <v>113.056</v>
      </c>
      <c r="AJ290" s="1144">
        <f t="shared" ref="AJ290:AJ295" si="238">((IF(Q290=$AK$7,X290,0)+(IF(Z290=$AK$7,AI290,0))))*$AK$9</f>
        <v>0</v>
      </c>
      <c r="AK290" s="1145">
        <f t="shared" ref="AK290:AK295" si="239">((IF(Q290=$AL$7,X290,0)+(IF(Z290=$AL$7,AI290,0))))*$AL$9</f>
        <v>117.82319466666667</v>
      </c>
      <c r="AL290" s="1146">
        <f t="shared" ref="AL290:AL295" si="240">((IF(Q290=$AM$7,X290,0)+(IF(Z290=$AM$7,AI290,0))))*$AM$9</f>
        <v>0</v>
      </c>
    </row>
    <row r="291" spans="1:38" ht="18.75">
      <c r="A291" s="1126"/>
      <c r="B291" s="1127"/>
      <c r="C291" s="1128"/>
      <c r="D291" s="1127"/>
      <c r="E291" s="1127" t="s">
        <v>1283</v>
      </c>
      <c r="F291" s="1129">
        <v>1.5</v>
      </c>
      <c r="G291" s="1129">
        <v>0.15</v>
      </c>
      <c r="H291" s="1129">
        <v>2.72</v>
      </c>
      <c r="I291" s="1130">
        <v>1</v>
      </c>
      <c r="J291" s="1131"/>
      <c r="K291" s="1132"/>
      <c r="L291" s="1133">
        <f>I291*(F291*G291*H291)</f>
        <v>0.61199999999999999</v>
      </c>
      <c r="M291" s="1127" t="s">
        <v>1284</v>
      </c>
      <c r="N291" s="1134"/>
      <c r="O291" s="1094"/>
      <c r="P291" s="1135" t="s">
        <v>1285</v>
      </c>
      <c r="Q291" s="1136">
        <v>8</v>
      </c>
      <c r="R291" s="1137">
        <v>0.2</v>
      </c>
      <c r="S291" s="1138">
        <f>(H290/R291+1)</f>
        <v>8.5</v>
      </c>
      <c r="T291" s="1139">
        <f>(F290+G290+0.3)-(0.03*2)</f>
        <v>0.7</v>
      </c>
      <c r="U291" s="1131">
        <v>2</v>
      </c>
      <c r="V291" s="1139">
        <f>6*Q291/1000</f>
        <v>4.8000000000000001E-2</v>
      </c>
      <c r="W291" s="1140">
        <v>8</v>
      </c>
      <c r="X291" s="1122">
        <f>I290*(((((T291)+(V291*U291))*S291)*W291))</f>
        <v>54.127999999999993</v>
      </c>
      <c r="Y291" s="1141" t="s">
        <v>1286</v>
      </c>
      <c r="Z291" s="1142">
        <v>13</v>
      </c>
      <c r="AA291" s="1137">
        <v>0.15</v>
      </c>
      <c r="AB291" s="1138">
        <f>($G$19)/AA291+1</f>
        <v>2</v>
      </c>
      <c r="AC291" s="1139">
        <f>0.71+2.72</f>
        <v>3.43</v>
      </c>
      <c r="AD291" s="1131">
        <v>2</v>
      </c>
      <c r="AE291" s="1139">
        <f>6*Z291/1000</f>
        <v>7.8E-2</v>
      </c>
      <c r="AF291" s="1131">
        <v>2</v>
      </c>
      <c r="AG291" s="1143">
        <f t="shared" si="237"/>
        <v>1.04</v>
      </c>
      <c r="AH291" s="1140">
        <v>1</v>
      </c>
      <c r="AI291" s="1122">
        <f t="shared" ref="AI291:AI292" si="241">$J$11*((((AC291)+(AE291*AD291)+(AG291*AF291))*AH291)*AB291)</f>
        <v>90.656000000000006</v>
      </c>
      <c r="AJ291" s="1144">
        <f t="shared" si="238"/>
        <v>0</v>
      </c>
      <c r="AK291" s="1145">
        <f t="shared" si="239"/>
        <v>94.478661333333335</v>
      </c>
      <c r="AL291" s="1146">
        <f t="shared" si="240"/>
        <v>0</v>
      </c>
    </row>
    <row r="292" spans="1:38" ht="18.75">
      <c r="A292" s="1126"/>
      <c r="B292" s="1127"/>
      <c r="C292" s="1128"/>
      <c r="D292" s="1127"/>
      <c r="E292" s="1127"/>
      <c r="F292" s="1129"/>
      <c r="G292" s="1129"/>
      <c r="H292" s="1129"/>
      <c r="I292" s="1130"/>
      <c r="J292" s="1131"/>
      <c r="K292" s="1132"/>
      <c r="L292" s="1133">
        <f>I292*(F292*G292*H292)</f>
        <v>0</v>
      </c>
      <c r="M292" s="1127" t="s">
        <v>1288</v>
      </c>
      <c r="N292" s="1134"/>
      <c r="O292" s="1094"/>
      <c r="P292" s="1135"/>
      <c r="Q292" s="1136"/>
      <c r="R292" s="1137"/>
      <c r="S292" s="1138"/>
      <c r="T292" s="1139"/>
      <c r="U292" s="1131"/>
      <c r="V292" s="1139"/>
      <c r="W292" s="1140"/>
      <c r="X292" s="1122"/>
      <c r="Y292" s="1141" t="s">
        <v>1289</v>
      </c>
      <c r="Z292" s="1142">
        <v>13</v>
      </c>
      <c r="AA292" s="1137">
        <v>0.15</v>
      </c>
      <c r="AB292" s="1138">
        <f>($G$19)/AA292+1</f>
        <v>2</v>
      </c>
      <c r="AC292" s="1139">
        <v>2.11</v>
      </c>
      <c r="AD292" s="1131">
        <v>2</v>
      </c>
      <c r="AE292" s="1139">
        <f>6*Z292/1000</f>
        <v>7.8E-2</v>
      </c>
      <c r="AF292" s="1131">
        <v>2</v>
      </c>
      <c r="AG292" s="1143">
        <f t="shared" si="237"/>
        <v>1.04</v>
      </c>
      <c r="AH292" s="1140">
        <v>1</v>
      </c>
      <c r="AI292" s="1122">
        <f t="shared" si="241"/>
        <v>69.536000000000001</v>
      </c>
      <c r="AJ292" s="1144">
        <f t="shared" si="238"/>
        <v>0</v>
      </c>
      <c r="AK292" s="1145">
        <f t="shared" si="239"/>
        <v>72.468101333333337</v>
      </c>
      <c r="AL292" s="1146">
        <f t="shared" si="240"/>
        <v>0</v>
      </c>
    </row>
    <row r="293" spans="1:38" ht="18.75">
      <c r="A293" s="1126"/>
      <c r="B293" s="1127"/>
      <c r="C293" s="1128"/>
      <c r="D293" s="1127"/>
      <c r="E293" s="1127"/>
      <c r="F293" s="1129"/>
      <c r="G293" s="1129"/>
      <c r="H293" s="1129"/>
      <c r="I293" s="1130"/>
      <c r="J293" s="1131"/>
      <c r="K293" s="1132"/>
      <c r="L293" s="1133"/>
      <c r="M293" s="1127" t="s">
        <v>1290</v>
      </c>
      <c r="N293" s="1134"/>
      <c r="O293" s="1094"/>
      <c r="P293" s="1135"/>
      <c r="Q293" s="1136"/>
      <c r="R293" s="1137"/>
      <c r="S293" s="1138"/>
      <c r="T293" s="1139"/>
      <c r="U293" s="1131"/>
      <c r="V293" s="1139"/>
      <c r="W293" s="1140"/>
      <c r="X293" s="1145"/>
      <c r="Y293" s="1184" t="s">
        <v>1294</v>
      </c>
      <c r="Z293" s="1137">
        <v>13</v>
      </c>
      <c r="AA293" s="1137">
        <v>0.15</v>
      </c>
      <c r="AB293" s="1138">
        <f>($G$19)/AA293+1</f>
        <v>2</v>
      </c>
      <c r="AC293" s="1139">
        <v>0.71</v>
      </c>
      <c r="AD293" s="1131">
        <v>2</v>
      </c>
      <c r="AE293" s="1139">
        <f t="shared" ref="AE293:AE294" si="242">6*Z293/1000</f>
        <v>7.8E-2</v>
      </c>
      <c r="AF293" s="1131">
        <v>2</v>
      </c>
      <c r="AG293" s="1143">
        <f t="shared" si="237"/>
        <v>1.04</v>
      </c>
      <c r="AH293" s="1140">
        <v>2</v>
      </c>
      <c r="AI293" s="1122">
        <f>$J$11*((((AC293)+(AE293*AD293)+(AG293*AF293))*AH293)*AB293)</f>
        <v>94.272000000000006</v>
      </c>
      <c r="AJ293" s="1144">
        <f t="shared" si="238"/>
        <v>0</v>
      </c>
      <c r="AK293" s="1145">
        <f t="shared" si="239"/>
        <v>98.247136000000012</v>
      </c>
      <c r="AL293" s="1146">
        <f t="shared" si="240"/>
        <v>0</v>
      </c>
    </row>
    <row r="294" spans="1:38" ht="18.75">
      <c r="A294" s="1126"/>
      <c r="B294" s="1127"/>
      <c r="C294" s="1128"/>
      <c r="D294" s="1127"/>
      <c r="E294" s="1127"/>
      <c r="F294" s="1129"/>
      <c r="G294" s="1129"/>
      <c r="H294" s="1129"/>
      <c r="I294" s="1130"/>
      <c r="J294" s="1131"/>
      <c r="K294" s="1132"/>
      <c r="L294" s="1133"/>
      <c r="M294" s="1127" t="s">
        <v>1292</v>
      </c>
      <c r="N294" s="1134">
        <f>I291*(F291*H291)</f>
        <v>4.08</v>
      </c>
      <c r="O294" s="1094"/>
      <c r="P294" s="1135"/>
      <c r="Q294" s="1136"/>
      <c r="R294" s="1137"/>
      <c r="S294" s="1138"/>
      <c r="T294" s="1139"/>
      <c r="U294" s="1131"/>
      <c r="V294" s="1139"/>
      <c r="W294" s="1140"/>
      <c r="X294" s="1122"/>
      <c r="Y294" s="1141" t="s">
        <v>1291</v>
      </c>
      <c r="Z294" s="1142">
        <v>8</v>
      </c>
      <c r="AA294" s="1137">
        <v>0.15</v>
      </c>
      <c r="AB294" s="1138">
        <f>(H291)/AA294+1</f>
        <v>19.133333333333336</v>
      </c>
      <c r="AC294" s="1139">
        <f>(F291+0.3)-0.06</f>
        <v>1.74</v>
      </c>
      <c r="AD294" s="1131">
        <v>2</v>
      </c>
      <c r="AE294" s="1139">
        <f t="shared" si="242"/>
        <v>4.8000000000000001E-2</v>
      </c>
      <c r="AF294" s="1131">
        <v>0</v>
      </c>
      <c r="AG294" s="1143">
        <f t="shared" si="237"/>
        <v>0</v>
      </c>
      <c r="AH294" s="1140">
        <v>2</v>
      </c>
      <c r="AI294" s="1122">
        <f>$J$11*((((AC294)+(AE294*AD294)+(AG294*AF294))*AH294)*AB294)</f>
        <v>562.06080000000009</v>
      </c>
      <c r="AJ294" s="1144">
        <f t="shared" si="238"/>
        <v>0</v>
      </c>
      <c r="AK294" s="1145">
        <f t="shared" si="239"/>
        <v>0</v>
      </c>
      <c r="AL294" s="1146">
        <f t="shared" si="240"/>
        <v>0</v>
      </c>
    </row>
    <row r="295" spans="1:38" ht="19.5" thickBot="1">
      <c r="A295" s="1126"/>
      <c r="B295" s="1127"/>
      <c r="C295" s="1128"/>
      <c r="D295" s="1127"/>
      <c r="E295" s="1127"/>
      <c r="F295" s="1129"/>
      <c r="G295" s="1129"/>
      <c r="H295" s="1129"/>
      <c r="I295" s="1130"/>
      <c r="J295" s="1131"/>
      <c r="K295" s="1132"/>
      <c r="L295" s="1133"/>
      <c r="M295" s="1127"/>
      <c r="N295" s="1134"/>
      <c r="O295" s="1094"/>
      <c r="P295" s="1135"/>
      <c r="Q295" s="1136"/>
      <c r="R295" s="1137"/>
      <c r="S295" s="1138"/>
      <c r="T295" s="1139"/>
      <c r="U295" s="1131"/>
      <c r="V295" s="1139"/>
      <c r="W295" s="1140"/>
      <c r="X295" s="1122"/>
      <c r="Y295" s="1141"/>
      <c r="Z295" s="1142"/>
      <c r="AA295" s="1137"/>
      <c r="AB295" s="1138"/>
      <c r="AC295" s="1139"/>
      <c r="AD295" s="1131"/>
      <c r="AE295" s="1139"/>
      <c r="AF295" s="1131"/>
      <c r="AG295" s="1139"/>
      <c r="AH295" s="1140"/>
      <c r="AI295" s="1122"/>
      <c r="AJ295" s="1144">
        <f t="shared" si="238"/>
        <v>0</v>
      </c>
      <c r="AK295" s="1145">
        <f t="shared" si="239"/>
        <v>0</v>
      </c>
      <c r="AL295" s="1146">
        <f t="shared" si="240"/>
        <v>0</v>
      </c>
    </row>
    <row r="296" spans="1:38" ht="20.25" thickTop="1" thickBot="1">
      <c r="A296" s="1188"/>
      <c r="B296" s="1189"/>
      <c r="C296" s="1190"/>
      <c r="D296" s="1189"/>
      <c r="E296" s="1191" t="s">
        <v>468</v>
      </c>
      <c r="F296" s="1192"/>
      <c r="G296" s="1192"/>
      <c r="H296" s="1192"/>
      <c r="I296" s="1192"/>
      <c r="J296" s="1192"/>
      <c r="K296" s="1193"/>
      <c r="L296" s="1194">
        <f>SUM(L275:L295)</f>
        <v>3.5158499999999995</v>
      </c>
      <c r="M296" s="1189"/>
      <c r="N296" s="1194">
        <f>SUM(N275:N295)</f>
        <v>23.439</v>
      </c>
      <c r="O296" s="1195"/>
      <c r="P296" s="1196"/>
      <c r="Q296" s="1188"/>
      <c r="R296" s="1197"/>
      <c r="S296" s="1198"/>
      <c r="T296" s="1199"/>
      <c r="U296" s="1200"/>
      <c r="V296" s="1199"/>
      <c r="W296" s="1201"/>
      <c r="X296" s="1202"/>
      <c r="Y296" s="1203"/>
      <c r="Z296" s="1204"/>
      <c r="AA296" s="1197"/>
      <c r="AB296" s="1198"/>
      <c r="AC296" s="1199"/>
      <c r="AD296" s="1200"/>
      <c r="AE296" s="1199"/>
      <c r="AF296" s="1200"/>
      <c r="AG296" s="1199"/>
      <c r="AH296" s="1201"/>
      <c r="AI296" s="1202"/>
      <c r="AJ296" s="1205">
        <f>SUM(AJ275:AJ295)</f>
        <v>0</v>
      </c>
      <c r="AK296" s="1205">
        <f t="shared" ref="AK296:AL296" si="243">SUM(AK275:AK295)</f>
        <v>1195.4068533333334</v>
      </c>
      <c r="AL296" s="1206">
        <f t="shared" si="243"/>
        <v>0</v>
      </c>
    </row>
    <row r="297" spans="1:38" ht="20.25" thickTop="1" thickBot="1">
      <c r="A297" s="1136"/>
      <c r="B297" s="1148"/>
      <c r="C297" s="1128"/>
      <c r="D297" s="1127"/>
      <c r="E297" s="1127"/>
      <c r="F297" s="1129"/>
      <c r="G297" s="1129"/>
      <c r="H297" s="1129"/>
      <c r="I297" s="1181"/>
      <c r="J297" s="1131"/>
      <c r="K297" s="1132"/>
      <c r="L297" s="1133"/>
      <c r="M297" s="1127"/>
      <c r="N297" s="1134"/>
      <c r="O297" s="1094"/>
      <c r="P297" s="1182"/>
      <c r="Q297" s="1136"/>
      <c r="R297" s="1137"/>
      <c r="S297" s="1138"/>
      <c r="T297" s="1139"/>
      <c r="U297" s="1131"/>
      <c r="V297" s="1139"/>
      <c r="W297" s="1140"/>
      <c r="X297" s="1122"/>
      <c r="Y297" s="1183"/>
      <c r="Z297" s="1142"/>
      <c r="AA297" s="1137"/>
      <c r="AB297" s="1138"/>
      <c r="AC297" s="1139"/>
      <c r="AD297" s="1131"/>
      <c r="AE297" s="1139"/>
      <c r="AF297" s="1131"/>
      <c r="AG297" s="1139"/>
      <c r="AH297" s="1140"/>
      <c r="AI297" s="1122"/>
      <c r="AJ297" s="1144"/>
      <c r="AK297" s="1145"/>
      <c r="AL297" s="1207"/>
    </row>
    <row r="298" spans="1:38" ht="19.5" thickTop="1">
      <c r="A298" s="1136"/>
      <c r="B298" s="1166" t="s">
        <v>1277</v>
      </c>
      <c r="C298" s="1106" t="s">
        <v>1301</v>
      </c>
      <c r="D298" s="1127">
        <v>1</v>
      </c>
      <c r="E298" s="1127" t="s">
        <v>1279</v>
      </c>
      <c r="F298" s="1129">
        <v>0.3</v>
      </c>
      <c r="G298" s="1129">
        <v>0.16</v>
      </c>
      <c r="H298" s="1129">
        <v>1.5</v>
      </c>
      <c r="I298" s="1181">
        <v>1</v>
      </c>
      <c r="J298" s="1131">
        <v>8</v>
      </c>
      <c r="K298" s="1132"/>
      <c r="L298" s="1133">
        <f>I298*(((F298*G298*H298)/2)*J298)</f>
        <v>0.28800000000000003</v>
      </c>
      <c r="M298" s="1127" t="s">
        <v>1280</v>
      </c>
      <c r="N298" s="1134">
        <f>I298*(G298*H298*J298)</f>
        <v>1.92</v>
      </c>
      <c r="O298" s="1094"/>
      <c r="P298" s="1182" t="s">
        <v>1281</v>
      </c>
      <c r="Q298" s="1136">
        <v>8</v>
      </c>
      <c r="R298" s="1137"/>
      <c r="S298" s="1138">
        <v>1</v>
      </c>
      <c r="T298" s="1139">
        <f>(H298+0.4)-0.06</f>
        <v>1.8399999999999999</v>
      </c>
      <c r="U298" s="1131">
        <v>2</v>
      </c>
      <c r="V298" s="1139">
        <f>6*Q298/1000</f>
        <v>4.8000000000000001E-2</v>
      </c>
      <c r="W298" s="1140">
        <v>8</v>
      </c>
      <c r="X298" s="1122">
        <f>I298*((((T298)+(V298*U298)*S298)*W298))</f>
        <v>15.488</v>
      </c>
      <c r="Y298" s="1183" t="s">
        <v>1282</v>
      </c>
      <c r="Z298" s="1142">
        <v>13</v>
      </c>
      <c r="AA298" s="1137">
        <v>0.15</v>
      </c>
      <c r="AB298" s="1138">
        <f>($G$19)/AA298+1</f>
        <v>2</v>
      </c>
      <c r="AC298" s="1139">
        <v>3.77</v>
      </c>
      <c r="AD298" s="1131">
        <v>2</v>
      </c>
      <c r="AE298" s="1139">
        <f>6*Z298/1000</f>
        <v>7.8E-2</v>
      </c>
      <c r="AF298" s="1131">
        <v>2</v>
      </c>
      <c r="AG298" s="1143">
        <f t="shared" ref="AG298:AG302" si="244">(40*Z298/1000)*AF298</f>
        <v>1.04</v>
      </c>
      <c r="AH298" s="1140">
        <v>1</v>
      </c>
      <c r="AI298" s="1122">
        <f>$J$11*((((AC298)+(AE298*AD298)+(AG298*AF298))*AH298)*AB298)</f>
        <v>96.096000000000004</v>
      </c>
      <c r="AJ298" s="1144">
        <f t="shared" ref="AJ298:AJ303" si="245">((IF(Q298=$AK$7,X298,0)+(IF(Z298=$AK$7,AI298,0))))*$AK$9</f>
        <v>0</v>
      </c>
      <c r="AK298" s="1145">
        <f t="shared" ref="AK298:AK303" si="246">((IF(Q298=$AL$7,X298,0)+(IF(Z298=$AL$7,AI298,0))))*$AL$9</f>
        <v>100.148048</v>
      </c>
      <c r="AL298" s="1146">
        <f t="shared" ref="AL298:AL303" si="247">((IF(Q298=$AM$7,X298,0)+(IF(Z298=$AM$7,AI298,0))))*$AM$9</f>
        <v>0</v>
      </c>
    </row>
    <row r="299" spans="1:38" ht="18.75">
      <c r="A299" s="1126"/>
      <c r="B299" s="1127"/>
      <c r="C299" s="1128"/>
      <c r="D299" s="1127"/>
      <c r="E299" s="1127" t="s">
        <v>1283</v>
      </c>
      <c r="F299" s="1129">
        <v>1.5</v>
      </c>
      <c r="G299" s="1129">
        <v>0.15</v>
      </c>
      <c r="H299" s="1129">
        <v>2.4</v>
      </c>
      <c r="I299" s="1130">
        <v>1</v>
      </c>
      <c r="J299" s="1131"/>
      <c r="K299" s="1132"/>
      <c r="L299" s="1133">
        <f>I299*(F299*G299*H299)</f>
        <v>0.53999999999999992</v>
      </c>
      <c r="M299" s="1127" t="s">
        <v>1284</v>
      </c>
      <c r="N299" s="1134"/>
      <c r="O299" s="1094"/>
      <c r="P299" s="1135" t="s">
        <v>1285</v>
      </c>
      <c r="Q299" s="1136">
        <v>8</v>
      </c>
      <c r="R299" s="1137">
        <v>0.2</v>
      </c>
      <c r="S299" s="1138">
        <f>(H298/R299+1)</f>
        <v>8.5</v>
      </c>
      <c r="T299" s="1139">
        <f>(F298+G298+0.3)-(0.03*2)</f>
        <v>0.7</v>
      </c>
      <c r="U299" s="1131">
        <v>2</v>
      </c>
      <c r="V299" s="1139">
        <f>6*Q299/1000</f>
        <v>4.8000000000000001E-2</v>
      </c>
      <c r="W299" s="1140">
        <v>8</v>
      </c>
      <c r="X299" s="1122">
        <f>I298*(((((T299)+(V299*U299))*S299)*W299))</f>
        <v>54.127999999999993</v>
      </c>
      <c r="Y299" s="1141" t="s">
        <v>1286</v>
      </c>
      <c r="Z299" s="1142">
        <v>13</v>
      </c>
      <c r="AA299" s="1137">
        <v>0.15</v>
      </c>
      <c r="AB299" s="1138">
        <f>($G$19)/AA299+1</f>
        <v>2</v>
      </c>
      <c r="AC299" s="1139">
        <v>4.12</v>
      </c>
      <c r="AD299" s="1131">
        <v>2</v>
      </c>
      <c r="AE299" s="1139">
        <f>6*Z299/1000</f>
        <v>7.8E-2</v>
      </c>
      <c r="AF299" s="1131">
        <v>2</v>
      </c>
      <c r="AG299" s="1143">
        <f t="shared" si="244"/>
        <v>1.04</v>
      </c>
      <c r="AH299" s="1140">
        <v>1</v>
      </c>
      <c r="AI299" s="1122">
        <f t="shared" ref="AI299:AI300" si="248">$J$11*((((AC299)+(AE299*AD299)+(AG299*AF299))*AH299)*AB299)</f>
        <v>101.696</v>
      </c>
      <c r="AJ299" s="1144">
        <f t="shared" si="245"/>
        <v>0</v>
      </c>
      <c r="AK299" s="1145">
        <f t="shared" si="246"/>
        <v>105.98418133333334</v>
      </c>
      <c r="AL299" s="1146">
        <f t="shared" si="247"/>
        <v>0</v>
      </c>
    </row>
    <row r="300" spans="1:38" ht="18.75">
      <c r="A300" s="1126"/>
      <c r="B300" s="1127"/>
      <c r="C300" s="1128"/>
      <c r="D300" s="1127"/>
      <c r="E300" s="1127" t="s">
        <v>1287</v>
      </c>
      <c r="F300" s="1129">
        <v>1.5</v>
      </c>
      <c r="G300" s="1129">
        <v>0.15</v>
      </c>
      <c r="H300" s="1129">
        <v>1.536</v>
      </c>
      <c r="I300" s="1130">
        <v>1</v>
      </c>
      <c r="J300" s="1131"/>
      <c r="K300" s="1132"/>
      <c r="L300" s="1133">
        <f>I300*(F300*G300*H300)</f>
        <v>0.34559999999999996</v>
      </c>
      <c r="M300" s="1127" t="s">
        <v>1288</v>
      </c>
      <c r="N300" s="1134"/>
      <c r="O300" s="1094"/>
      <c r="P300" s="1135"/>
      <c r="Q300" s="1136"/>
      <c r="R300" s="1137"/>
      <c r="S300" s="1138"/>
      <c r="T300" s="1139"/>
      <c r="U300" s="1131"/>
      <c r="V300" s="1139"/>
      <c r="W300" s="1140"/>
      <c r="X300" s="1122"/>
      <c r="Y300" s="1141" t="s">
        <v>1289</v>
      </c>
      <c r="Z300" s="1142">
        <v>13</v>
      </c>
      <c r="AA300" s="1137">
        <v>0.15</v>
      </c>
      <c r="AB300" s="1138">
        <f>($G$19)/AA300+1</f>
        <v>2</v>
      </c>
      <c r="AC300" s="1139">
        <v>1.37</v>
      </c>
      <c r="AD300" s="1131">
        <v>2</v>
      </c>
      <c r="AE300" s="1139">
        <f>6*Z300/1000</f>
        <v>7.8E-2</v>
      </c>
      <c r="AF300" s="1131">
        <v>2</v>
      </c>
      <c r="AG300" s="1143">
        <f t="shared" si="244"/>
        <v>1.04</v>
      </c>
      <c r="AH300" s="1140">
        <v>1</v>
      </c>
      <c r="AI300" s="1122">
        <f t="shared" si="248"/>
        <v>57.695999999999998</v>
      </c>
      <c r="AJ300" s="1144">
        <f t="shared" si="245"/>
        <v>0</v>
      </c>
      <c r="AK300" s="1145">
        <f t="shared" si="246"/>
        <v>60.128847999999998</v>
      </c>
      <c r="AL300" s="1146">
        <f t="shared" si="247"/>
        <v>0</v>
      </c>
    </row>
    <row r="301" spans="1:38" ht="18.75">
      <c r="A301" s="1126"/>
      <c r="B301" s="1127"/>
      <c r="C301" s="1128"/>
      <c r="D301" s="1127"/>
      <c r="E301" s="1127"/>
      <c r="F301" s="1129"/>
      <c r="G301" s="1129"/>
      <c r="H301" s="1129"/>
      <c r="I301" s="1130"/>
      <c r="J301" s="1131"/>
      <c r="K301" s="1132"/>
      <c r="L301" s="1133"/>
      <c r="M301" s="1127" t="s">
        <v>1290</v>
      </c>
      <c r="N301" s="1134"/>
      <c r="O301" s="1094"/>
      <c r="P301" s="1135"/>
      <c r="Q301" s="1136"/>
      <c r="R301" s="1137"/>
      <c r="S301" s="1138"/>
      <c r="T301" s="1139"/>
      <c r="U301" s="1131"/>
      <c r="V301" s="1139"/>
      <c r="W301" s="1140"/>
      <c r="X301" s="1145"/>
      <c r="Y301" s="1184" t="s">
        <v>1294</v>
      </c>
      <c r="Z301" s="1137">
        <v>13</v>
      </c>
      <c r="AA301" s="1137">
        <v>0.15</v>
      </c>
      <c r="AB301" s="1138">
        <f>($G$19)/AA301+1</f>
        <v>2</v>
      </c>
      <c r="AC301" s="1139">
        <v>1.74</v>
      </c>
      <c r="AD301" s="1131">
        <v>2</v>
      </c>
      <c r="AE301" s="1139">
        <f t="shared" ref="AE301:AE302" si="249">6*Z301/1000</f>
        <v>7.8E-2</v>
      </c>
      <c r="AF301" s="1131">
        <v>2</v>
      </c>
      <c r="AG301" s="1143">
        <f t="shared" si="244"/>
        <v>1.04</v>
      </c>
      <c r="AH301" s="1140">
        <v>2</v>
      </c>
      <c r="AI301" s="1122">
        <f>$J$11*((((AC301)+(AE301*AD301)+(AG301*AF301))*AH301)*AB301)</f>
        <v>127.232</v>
      </c>
      <c r="AJ301" s="1144">
        <f t="shared" si="245"/>
        <v>0</v>
      </c>
      <c r="AK301" s="1145">
        <f t="shared" si="246"/>
        <v>132.59694933333333</v>
      </c>
      <c r="AL301" s="1146">
        <f t="shared" si="247"/>
        <v>0</v>
      </c>
    </row>
    <row r="302" spans="1:38" ht="18.75">
      <c r="A302" s="1126"/>
      <c r="B302" s="1127"/>
      <c r="C302" s="1128"/>
      <c r="D302" s="1127"/>
      <c r="E302" s="1127"/>
      <c r="F302" s="1129"/>
      <c r="G302" s="1129"/>
      <c r="H302" s="1129"/>
      <c r="I302" s="1130"/>
      <c r="J302" s="1131"/>
      <c r="K302" s="1132"/>
      <c r="L302" s="1133"/>
      <c r="M302" s="1127" t="s">
        <v>1292</v>
      </c>
      <c r="N302" s="1134">
        <f>I299*(F299*H299)</f>
        <v>3.5999999999999996</v>
      </c>
      <c r="O302" s="1094"/>
      <c r="P302" s="1135"/>
      <c r="Q302" s="1136"/>
      <c r="R302" s="1137"/>
      <c r="S302" s="1138"/>
      <c r="T302" s="1139"/>
      <c r="U302" s="1131"/>
      <c r="V302" s="1139"/>
      <c r="W302" s="1140"/>
      <c r="X302" s="1122"/>
      <c r="Y302" s="1141" t="s">
        <v>1291</v>
      </c>
      <c r="Z302" s="1142">
        <v>8</v>
      </c>
      <c r="AA302" s="1137">
        <v>0.15</v>
      </c>
      <c r="AB302" s="1138">
        <f>(H299)/AA302+1</f>
        <v>17</v>
      </c>
      <c r="AC302" s="1139">
        <f>(F299+0.3)-0.06</f>
        <v>1.74</v>
      </c>
      <c r="AD302" s="1131">
        <v>2</v>
      </c>
      <c r="AE302" s="1139">
        <f t="shared" si="249"/>
        <v>4.8000000000000001E-2</v>
      </c>
      <c r="AF302" s="1131">
        <v>0</v>
      </c>
      <c r="AG302" s="1143">
        <f t="shared" si="244"/>
        <v>0</v>
      </c>
      <c r="AH302" s="1140">
        <v>2</v>
      </c>
      <c r="AI302" s="1122">
        <f>$J$11*((((AC302)+(AE302*AD302)+(AG302*AF302))*AH302)*AB302)</f>
        <v>499.392</v>
      </c>
      <c r="AJ302" s="1144">
        <f t="shared" si="245"/>
        <v>0</v>
      </c>
      <c r="AK302" s="1145">
        <f t="shared" si="246"/>
        <v>0</v>
      </c>
      <c r="AL302" s="1146">
        <f t="shared" si="247"/>
        <v>0</v>
      </c>
    </row>
    <row r="303" spans="1:38" ht="18.75">
      <c r="A303" s="1126"/>
      <c r="B303" s="1127"/>
      <c r="C303" s="1128"/>
      <c r="D303" s="1127"/>
      <c r="E303" s="1127"/>
      <c r="F303" s="1129"/>
      <c r="G303" s="1129"/>
      <c r="H303" s="1129"/>
      <c r="I303" s="1130"/>
      <c r="J303" s="1131"/>
      <c r="K303" s="1132"/>
      <c r="L303" s="1133"/>
      <c r="M303" s="1127" t="s">
        <v>1293</v>
      </c>
      <c r="N303" s="1134">
        <f>I300*(F300*H300)</f>
        <v>2.3040000000000003</v>
      </c>
      <c r="O303" s="1094"/>
      <c r="P303" s="1135"/>
      <c r="Q303" s="1136"/>
      <c r="R303" s="1137"/>
      <c r="S303" s="1138"/>
      <c r="T303" s="1139"/>
      <c r="U303" s="1131"/>
      <c r="V303" s="1139"/>
      <c r="W303" s="1140"/>
      <c r="X303" s="1122"/>
      <c r="Y303" s="1141"/>
      <c r="Z303" s="1142"/>
      <c r="AA303" s="1137"/>
      <c r="AB303" s="1138"/>
      <c r="AC303" s="1139"/>
      <c r="AD303" s="1131"/>
      <c r="AE303" s="1139"/>
      <c r="AF303" s="1131"/>
      <c r="AG303" s="1139"/>
      <c r="AH303" s="1140"/>
      <c r="AI303" s="1122"/>
      <c r="AJ303" s="1144">
        <f t="shared" si="245"/>
        <v>0</v>
      </c>
      <c r="AK303" s="1145">
        <f t="shared" si="246"/>
        <v>0</v>
      </c>
      <c r="AL303" s="1146">
        <f t="shared" si="247"/>
        <v>0</v>
      </c>
    </row>
    <row r="304" spans="1:38" ht="18.75">
      <c r="A304" s="1126"/>
      <c r="B304" s="1127"/>
      <c r="C304" s="1128"/>
      <c r="D304" s="1127"/>
      <c r="E304" s="1127"/>
      <c r="F304" s="1168"/>
      <c r="G304" s="1168"/>
      <c r="H304" s="1168"/>
      <c r="I304" s="1130"/>
      <c r="J304" s="1169"/>
      <c r="K304" s="1132"/>
      <c r="L304" s="1133"/>
      <c r="M304" s="1127"/>
      <c r="N304" s="1134"/>
      <c r="O304" s="1094"/>
      <c r="P304" s="1135"/>
      <c r="Q304" s="1136"/>
      <c r="R304" s="1137"/>
      <c r="S304" s="1138"/>
      <c r="T304" s="1139"/>
      <c r="U304" s="1131"/>
      <c r="V304" s="1139"/>
      <c r="W304" s="1140"/>
      <c r="X304" s="1122"/>
      <c r="Y304" s="1141"/>
      <c r="Z304" s="1142"/>
      <c r="AA304" s="1137"/>
      <c r="AB304" s="1138"/>
      <c r="AC304" s="1139"/>
      <c r="AD304" s="1131"/>
      <c r="AE304" s="1139"/>
      <c r="AF304" s="1131"/>
      <c r="AG304" s="1139"/>
      <c r="AH304" s="1140"/>
      <c r="AI304" s="1122"/>
      <c r="AJ304" s="1144"/>
      <c r="AK304" s="1145"/>
      <c r="AL304" s="1146"/>
    </row>
    <row r="305" spans="1:38" ht="18.75">
      <c r="A305" s="1136"/>
      <c r="B305" s="1166"/>
      <c r="C305" s="1128"/>
      <c r="D305" s="1127">
        <v>2</v>
      </c>
      <c r="E305" s="1127" t="s">
        <v>1279</v>
      </c>
      <c r="F305" s="1129">
        <v>0.3</v>
      </c>
      <c r="G305" s="1129">
        <v>0.16</v>
      </c>
      <c r="H305" s="1129">
        <v>1.5</v>
      </c>
      <c r="I305" s="1181">
        <v>1</v>
      </c>
      <c r="J305" s="1131">
        <v>9</v>
      </c>
      <c r="K305" s="1132"/>
      <c r="L305" s="1133">
        <f>I305*(((F305*G305*H305)/2)*J305)</f>
        <v>0.32400000000000007</v>
      </c>
      <c r="M305" s="1127" t="s">
        <v>1280</v>
      </c>
      <c r="N305" s="1134">
        <f>I305*(G305*H305*J305)</f>
        <v>2.16</v>
      </c>
      <c r="O305" s="1094"/>
      <c r="P305" s="1182" t="s">
        <v>1281</v>
      </c>
      <c r="Q305" s="1136">
        <v>8</v>
      </c>
      <c r="R305" s="1137"/>
      <c r="S305" s="1138">
        <v>1</v>
      </c>
      <c r="T305" s="1139">
        <f>(H305+0.4)-0.06</f>
        <v>1.8399999999999999</v>
      </c>
      <c r="U305" s="1131">
        <v>2</v>
      </c>
      <c r="V305" s="1139">
        <f>6*Q305/1000</f>
        <v>4.8000000000000001E-2</v>
      </c>
      <c r="W305" s="1140">
        <v>9</v>
      </c>
      <c r="X305" s="1122">
        <f>I305*((((T305)+(V305*U305)*S305)*W305))</f>
        <v>17.423999999999999</v>
      </c>
      <c r="Y305" s="1183" t="s">
        <v>1282</v>
      </c>
      <c r="Z305" s="1142">
        <v>13</v>
      </c>
      <c r="AA305" s="1137">
        <v>0.15</v>
      </c>
      <c r="AB305" s="1138">
        <f>($G$19)/AA305+1</f>
        <v>2</v>
      </c>
      <c r="AC305" s="1139">
        <f>1.5+3.06</f>
        <v>4.5600000000000005</v>
      </c>
      <c r="AD305" s="1131">
        <v>2</v>
      </c>
      <c r="AE305" s="1139">
        <f>6*Z305/1000</f>
        <v>7.8E-2</v>
      </c>
      <c r="AF305" s="1131">
        <v>2</v>
      </c>
      <c r="AG305" s="1143">
        <f t="shared" ref="AG305:AG309" si="250">(40*Z305/1000)*AF305</f>
        <v>1.04</v>
      </c>
      <c r="AH305" s="1140">
        <v>1</v>
      </c>
      <c r="AI305" s="1122">
        <f>$J$11*((((AC305)+(AE305*AD305)+(AG305*AF305))*AH305)*AB305)</f>
        <v>108.736</v>
      </c>
      <c r="AJ305" s="1144">
        <f t="shared" ref="AJ305:AJ310" si="251">((IF(Q305=$AK$7,X305,0)+(IF(Z305=$AK$7,AI305,0))))*$AK$9</f>
        <v>0</v>
      </c>
      <c r="AK305" s="1145">
        <f t="shared" ref="AK305:AK310" si="252">((IF(Q305=$AL$7,X305,0)+(IF(Z305=$AL$7,AI305,0))))*$AL$9</f>
        <v>113.32103466666668</v>
      </c>
      <c r="AL305" s="1146">
        <f t="shared" ref="AL305:AL310" si="253">((IF(Q305=$AM$7,X305,0)+(IF(Z305=$AM$7,AI305,0))))*$AM$9</f>
        <v>0</v>
      </c>
    </row>
    <row r="306" spans="1:38" ht="18.75">
      <c r="A306" s="1126"/>
      <c r="B306" s="1127"/>
      <c r="C306" s="1128"/>
      <c r="D306" s="1127"/>
      <c r="E306" s="1127" t="s">
        <v>1283</v>
      </c>
      <c r="F306" s="1129">
        <v>1.5</v>
      </c>
      <c r="G306" s="1129">
        <v>0.15</v>
      </c>
      <c r="H306" s="1129">
        <f>0.34*9</f>
        <v>3.06</v>
      </c>
      <c r="I306" s="1130">
        <v>1</v>
      </c>
      <c r="J306" s="1131"/>
      <c r="K306" s="1132"/>
      <c r="L306" s="1133">
        <f>I306*(F306*G306*H306)</f>
        <v>0.68849999999999989</v>
      </c>
      <c r="M306" s="1127" t="s">
        <v>1284</v>
      </c>
      <c r="N306" s="1134"/>
      <c r="O306" s="1094"/>
      <c r="P306" s="1135" t="s">
        <v>1285</v>
      </c>
      <c r="Q306" s="1136">
        <v>8</v>
      </c>
      <c r="R306" s="1137">
        <v>0.2</v>
      </c>
      <c r="S306" s="1138">
        <f>(H305/R306+1)</f>
        <v>8.5</v>
      </c>
      <c r="T306" s="1139">
        <f>(F305+G305+0.3)-(0.03*2)</f>
        <v>0.7</v>
      </c>
      <c r="U306" s="1131">
        <v>2</v>
      </c>
      <c r="V306" s="1139">
        <f>6*Q306/1000</f>
        <v>4.8000000000000001E-2</v>
      </c>
      <c r="W306" s="1140">
        <v>9</v>
      </c>
      <c r="X306" s="1122">
        <f>I305*(((((T306)+(V306*U306))*S306)*W306))</f>
        <v>60.893999999999991</v>
      </c>
      <c r="Y306" s="1141" t="s">
        <v>1286</v>
      </c>
      <c r="Z306" s="1142">
        <v>13</v>
      </c>
      <c r="AA306" s="1137">
        <v>0.15</v>
      </c>
      <c r="AB306" s="1138">
        <f>($G$19)/AA306+1</f>
        <v>2</v>
      </c>
      <c r="AC306" s="1139">
        <f>1.5+3.06</f>
        <v>4.5600000000000005</v>
      </c>
      <c r="AD306" s="1131">
        <v>2</v>
      </c>
      <c r="AE306" s="1139">
        <f>6*Z306/1000</f>
        <v>7.8E-2</v>
      </c>
      <c r="AF306" s="1131">
        <v>2</v>
      </c>
      <c r="AG306" s="1143">
        <f t="shared" si="250"/>
        <v>1.04</v>
      </c>
      <c r="AH306" s="1140">
        <v>1</v>
      </c>
      <c r="AI306" s="1122">
        <f t="shared" ref="AI306:AI307" si="254">$J$11*((((AC306)+(AE306*AD306)+(AG306*AF306))*AH306)*AB306)</f>
        <v>108.736</v>
      </c>
      <c r="AJ306" s="1144">
        <f t="shared" si="251"/>
        <v>0</v>
      </c>
      <c r="AK306" s="1145">
        <f t="shared" si="252"/>
        <v>113.32103466666668</v>
      </c>
      <c r="AL306" s="1146">
        <f t="shared" si="253"/>
        <v>0</v>
      </c>
    </row>
    <row r="307" spans="1:38" ht="18.75">
      <c r="A307" s="1126"/>
      <c r="B307" s="1127"/>
      <c r="C307" s="1128"/>
      <c r="D307" s="1127"/>
      <c r="E307" s="1127" t="s">
        <v>1287</v>
      </c>
      <c r="F307" s="1129">
        <v>1.5</v>
      </c>
      <c r="G307" s="1129">
        <v>0.15</v>
      </c>
      <c r="H307" s="1129">
        <v>1.91</v>
      </c>
      <c r="I307" s="1130">
        <v>1</v>
      </c>
      <c r="J307" s="1131"/>
      <c r="K307" s="1132"/>
      <c r="L307" s="1133">
        <f>I307*(F307*G307*H307)</f>
        <v>0.42974999999999997</v>
      </c>
      <c r="M307" s="1127" t="s">
        <v>1288</v>
      </c>
      <c r="N307" s="1134"/>
      <c r="O307" s="1094"/>
      <c r="P307" s="1135"/>
      <c r="Q307" s="1136"/>
      <c r="R307" s="1137"/>
      <c r="S307" s="1138"/>
      <c r="T307" s="1139"/>
      <c r="U307" s="1131"/>
      <c r="V307" s="1139"/>
      <c r="W307" s="1140"/>
      <c r="X307" s="1122"/>
      <c r="Y307" s="1141" t="s">
        <v>1289</v>
      </c>
      <c r="Z307" s="1142">
        <v>13</v>
      </c>
      <c r="AA307" s="1137">
        <v>0.15</v>
      </c>
      <c r="AB307" s="1138">
        <f>($G$19)/AA307+1</f>
        <v>2</v>
      </c>
      <c r="AC307" s="1139">
        <v>1.5</v>
      </c>
      <c r="AD307" s="1131">
        <v>2</v>
      </c>
      <c r="AE307" s="1139">
        <f>6*Z307/1000</f>
        <v>7.8E-2</v>
      </c>
      <c r="AF307" s="1131">
        <v>2</v>
      </c>
      <c r="AG307" s="1143">
        <f t="shared" si="250"/>
        <v>1.04</v>
      </c>
      <c r="AH307" s="1140">
        <v>1</v>
      </c>
      <c r="AI307" s="1122">
        <f t="shared" si="254"/>
        <v>59.775999999999996</v>
      </c>
      <c r="AJ307" s="1144">
        <f t="shared" si="251"/>
        <v>0</v>
      </c>
      <c r="AK307" s="1145">
        <f t="shared" si="252"/>
        <v>62.296554666666665</v>
      </c>
      <c r="AL307" s="1146">
        <f t="shared" si="253"/>
        <v>0</v>
      </c>
    </row>
    <row r="308" spans="1:38" ht="18.75">
      <c r="A308" s="1126"/>
      <c r="B308" s="1127"/>
      <c r="C308" s="1128"/>
      <c r="D308" s="1127"/>
      <c r="E308" s="1127"/>
      <c r="F308" s="1129"/>
      <c r="G308" s="1129"/>
      <c r="H308" s="1129"/>
      <c r="I308" s="1130"/>
      <c r="J308" s="1131"/>
      <c r="K308" s="1132"/>
      <c r="L308" s="1133"/>
      <c r="M308" s="1127" t="s">
        <v>1290</v>
      </c>
      <c r="N308" s="1134"/>
      <c r="O308" s="1094"/>
      <c r="P308" s="1135"/>
      <c r="Q308" s="1136"/>
      <c r="R308" s="1137"/>
      <c r="S308" s="1138"/>
      <c r="T308" s="1139"/>
      <c r="U308" s="1131"/>
      <c r="V308" s="1139"/>
      <c r="W308" s="1140"/>
      <c r="X308" s="1145"/>
      <c r="Y308" s="1184" t="s">
        <v>1294</v>
      </c>
      <c r="Z308" s="1137">
        <v>13</v>
      </c>
      <c r="AA308" s="1137">
        <v>0.15</v>
      </c>
      <c r="AB308" s="1138">
        <f>($G$19)/AA308+1</f>
        <v>2</v>
      </c>
      <c r="AC308" s="1139">
        <v>1.5</v>
      </c>
      <c r="AD308" s="1131">
        <v>2</v>
      </c>
      <c r="AE308" s="1139">
        <f t="shared" ref="AE308:AE309" si="255">6*Z308/1000</f>
        <v>7.8E-2</v>
      </c>
      <c r="AF308" s="1131">
        <v>2</v>
      </c>
      <c r="AG308" s="1143">
        <f t="shared" si="250"/>
        <v>1.04</v>
      </c>
      <c r="AH308" s="1140">
        <v>2</v>
      </c>
      <c r="AI308" s="1122">
        <f>$J$11*((((AC308)+(AE308*AD308)+(AG308*AF308))*AH308)*AB308)</f>
        <v>119.55199999999999</v>
      </c>
      <c r="AJ308" s="1144">
        <f t="shared" si="251"/>
        <v>0</v>
      </c>
      <c r="AK308" s="1145">
        <f t="shared" si="252"/>
        <v>124.59310933333333</v>
      </c>
      <c r="AL308" s="1146">
        <f t="shared" si="253"/>
        <v>0</v>
      </c>
    </row>
    <row r="309" spans="1:38" ht="18.75">
      <c r="A309" s="1126"/>
      <c r="B309" s="1127"/>
      <c r="C309" s="1128"/>
      <c r="D309" s="1127"/>
      <c r="E309" s="1127"/>
      <c r="F309" s="1129"/>
      <c r="G309" s="1129"/>
      <c r="H309" s="1129"/>
      <c r="I309" s="1130"/>
      <c r="J309" s="1131"/>
      <c r="K309" s="1132"/>
      <c r="L309" s="1133"/>
      <c r="M309" s="1127" t="s">
        <v>1292</v>
      </c>
      <c r="N309" s="1134">
        <f>I306*(F306*H306)</f>
        <v>4.59</v>
      </c>
      <c r="O309" s="1094"/>
      <c r="P309" s="1135"/>
      <c r="Q309" s="1136"/>
      <c r="R309" s="1137"/>
      <c r="S309" s="1138"/>
      <c r="T309" s="1139"/>
      <c r="U309" s="1131"/>
      <c r="V309" s="1139"/>
      <c r="W309" s="1140"/>
      <c r="X309" s="1122"/>
      <c r="Y309" s="1141" t="s">
        <v>1291</v>
      </c>
      <c r="Z309" s="1142">
        <v>8</v>
      </c>
      <c r="AA309" s="1137">
        <v>0.15</v>
      </c>
      <c r="AB309" s="1138">
        <f>(H306)/AA309+1</f>
        <v>21.400000000000002</v>
      </c>
      <c r="AC309" s="1139">
        <f>(F306+0.3)-0.06</f>
        <v>1.74</v>
      </c>
      <c r="AD309" s="1131">
        <v>2</v>
      </c>
      <c r="AE309" s="1139">
        <f t="shared" si="255"/>
        <v>4.8000000000000001E-2</v>
      </c>
      <c r="AF309" s="1131">
        <v>0</v>
      </c>
      <c r="AG309" s="1143">
        <f t="shared" si="250"/>
        <v>0</v>
      </c>
      <c r="AH309" s="1140">
        <v>2</v>
      </c>
      <c r="AI309" s="1122">
        <f>$J$11*((((AC309)+(AE309*AD309)+(AG309*AF309))*AH309)*AB309)</f>
        <v>628.64640000000009</v>
      </c>
      <c r="AJ309" s="1144">
        <f t="shared" si="251"/>
        <v>0</v>
      </c>
      <c r="AK309" s="1145">
        <f t="shared" si="252"/>
        <v>0</v>
      </c>
      <c r="AL309" s="1146">
        <f t="shared" si="253"/>
        <v>0</v>
      </c>
    </row>
    <row r="310" spans="1:38" ht="18.75">
      <c r="A310" s="1126"/>
      <c r="B310" s="1127"/>
      <c r="C310" s="1128"/>
      <c r="D310" s="1127"/>
      <c r="E310" s="1127"/>
      <c r="F310" s="1129"/>
      <c r="G310" s="1129"/>
      <c r="H310" s="1129"/>
      <c r="I310" s="1130"/>
      <c r="J310" s="1131"/>
      <c r="K310" s="1132"/>
      <c r="L310" s="1133"/>
      <c r="M310" s="1127" t="s">
        <v>1293</v>
      </c>
      <c r="N310" s="1134">
        <f>I307*(F307*H307)</f>
        <v>2.8649999999999998</v>
      </c>
      <c r="O310" s="1094"/>
      <c r="P310" s="1135"/>
      <c r="Q310" s="1136"/>
      <c r="R310" s="1137"/>
      <c r="S310" s="1138"/>
      <c r="T310" s="1139"/>
      <c r="U310" s="1131"/>
      <c r="V310" s="1139"/>
      <c r="W310" s="1140"/>
      <c r="X310" s="1122"/>
      <c r="Y310" s="1141"/>
      <c r="Z310" s="1142"/>
      <c r="AA310" s="1137"/>
      <c r="AB310" s="1138"/>
      <c r="AC310" s="1139"/>
      <c r="AD310" s="1131"/>
      <c r="AE310" s="1139"/>
      <c r="AF310" s="1131"/>
      <c r="AG310" s="1139"/>
      <c r="AH310" s="1140"/>
      <c r="AI310" s="1122"/>
      <c r="AJ310" s="1144">
        <f t="shared" si="251"/>
        <v>0</v>
      </c>
      <c r="AK310" s="1145">
        <f t="shared" si="252"/>
        <v>0</v>
      </c>
      <c r="AL310" s="1146">
        <f t="shared" si="253"/>
        <v>0</v>
      </c>
    </row>
    <row r="311" spans="1:38" ht="18.75">
      <c r="A311" s="1126"/>
      <c r="B311" s="1127"/>
      <c r="C311" s="1128"/>
      <c r="D311" s="1127"/>
      <c r="E311" s="1127"/>
      <c r="F311" s="1168"/>
      <c r="G311" s="1168"/>
      <c r="H311" s="1168"/>
      <c r="I311" s="1130"/>
      <c r="J311" s="1169"/>
      <c r="K311" s="1132"/>
      <c r="L311" s="1133"/>
      <c r="M311" s="1127"/>
      <c r="N311" s="1134"/>
      <c r="O311" s="1094"/>
      <c r="P311" s="1135"/>
      <c r="Q311" s="1136"/>
      <c r="R311" s="1137"/>
      <c r="S311" s="1138"/>
      <c r="T311" s="1139"/>
      <c r="U311" s="1131"/>
      <c r="V311" s="1139"/>
      <c r="W311" s="1140"/>
      <c r="X311" s="1122"/>
      <c r="Y311" s="1141"/>
      <c r="Z311" s="1142"/>
      <c r="AA311" s="1137"/>
      <c r="AB311" s="1138"/>
      <c r="AC311" s="1139"/>
      <c r="AD311" s="1131"/>
      <c r="AE311" s="1139"/>
      <c r="AF311" s="1131"/>
      <c r="AG311" s="1139"/>
      <c r="AH311" s="1140"/>
      <c r="AI311" s="1122"/>
      <c r="AJ311" s="1144"/>
      <c r="AK311" s="1145"/>
      <c r="AL311" s="1146"/>
    </row>
    <row r="312" spans="1:38" ht="18.75">
      <c r="A312" s="1136"/>
      <c r="B312" s="1166"/>
      <c r="C312" s="1128"/>
      <c r="D312" s="1127">
        <v>3</v>
      </c>
      <c r="E312" s="1127" t="s">
        <v>1279</v>
      </c>
      <c r="F312" s="1129">
        <v>0.3</v>
      </c>
      <c r="G312" s="1129">
        <v>0.16</v>
      </c>
      <c r="H312" s="1129">
        <v>1.5</v>
      </c>
      <c r="I312" s="1181">
        <v>1</v>
      </c>
      <c r="J312" s="1131">
        <v>8</v>
      </c>
      <c r="K312" s="1132"/>
      <c r="L312" s="1133">
        <f>I312*(((F312*G312*H312)/2)*J312)</f>
        <v>0.28800000000000003</v>
      </c>
      <c r="M312" s="1127" t="s">
        <v>1280</v>
      </c>
      <c r="N312" s="1134">
        <f>I312*(G312*H312*J312)</f>
        <v>1.92</v>
      </c>
      <c r="O312" s="1094"/>
      <c r="P312" s="1182" t="s">
        <v>1281</v>
      </c>
      <c r="Q312" s="1136">
        <v>8</v>
      </c>
      <c r="R312" s="1137"/>
      <c r="S312" s="1138">
        <v>1</v>
      </c>
      <c r="T312" s="1139">
        <f>(H312+0.4)-0.06</f>
        <v>1.8399999999999999</v>
      </c>
      <c r="U312" s="1131">
        <v>2</v>
      </c>
      <c r="V312" s="1139">
        <f>6*Q312/1000</f>
        <v>4.8000000000000001E-2</v>
      </c>
      <c r="W312" s="1140">
        <v>8</v>
      </c>
      <c r="X312" s="1122">
        <f>I312*((((T312)+(V312*U312)*S312)*W312))</f>
        <v>15.488</v>
      </c>
      <c r="Y312" s="1183" t="s">
        <v>1282</v>
      </c>
      <c r="Z312" s="1142">
        <v>13</v>
      </c>
      <c r="AA312" s="1137">
        <v>0.15</v>
      </c>
      <c r="AB312" s="1138">
        <f>($G$19)/AA312+1</f>
        <v>2</v>
      </c>
      <c r="AC312" s="1139">
        <v>4.83</v>
      </c>
      <c r="AD312" s="1131">
        <v>2</v>
      </c>
      <c r="AE312" s="1139">
        <f>6*Z312/1000</f>
        <v>7.8E-2</v>
      </c>
      <c r="AF312" s="1131">
        <v>2</v>
      </c>
      <c r="AG312" s="1143">
        <f t="shared" ref="AG312:AG316" si="256">(40*Z312/1000)*AF312</f>
        <v>1.04</v>
      </c>
      <c r="AH312" s="1140">
        <v>1</v>
      </c>
      <c r="AI312" s="1122">
        <f>$J$11*((((AC312)+(AE312*AD312)+(AG312*AF312))*AH312)*AB312)</f>
        <v>113.056</v>
      </c>
      <c r="AJ312" s="1144">
        <f t="shared" ref="AJ312:AJ317" si="257">((IF(Q312=$AK$7,X312,0)+(IF(Z312=$AK$7,AI312,0))))*$AK$9</f>
        <v>0</v>
      </c>
      <c r="AK312" s="1145">
        <f t="shared" ref="AK312:AK317" si="258">((IF(Q312=$AL$7,X312,0)+(IF(Z312=$AL$7,AI312,0))))*$AL$9</f>
        <v>117.82319466666667</v>
      </c>
      <c r="AL312" s="1146">
        <f t="shared" ref="AL312:AL317" si="259">((IF(Q312=$AM$7,X312,0)+(IF(Z312=$AM$7,AI312,0))))*$AM$9</f>
        <v>0</v>
      </c>
    </row>
    <row r="313" spans="1:38" ht="18.75">
      <c r="A313" s="1126"/>
      <c r="B313" s="1127"/>
      <c r="C313" s="1128"/>
      <c r="D313" s="1127"/>
      <c r="E313" s="1127" t="s">
        <v>1283</v>
      </c>
      <c r="F313" s="1129">
        <v>1.5</v>
      </c>
      <c r="G313" s="1129">
        <v>0.15</v>
      </c>
      <c r="H313" s="1129">
        <v>2.72</v>
      </c>
      <c r="I313" s="1130">
        <v>1</v>
      </c>
      <c r="J313" s="1131"/>
      <c r="K313" s="1132"/>
      <c r="L313" s="1133">
        <f>I313*(F313*G313*H313)</f>
        <v>0.61199999999999999</v>
      </c>
      <c r="M313" s="1127" t="s">
        <v>1284</v>
      </c>
      <c r="N313" s="1134"/>
      <c r="O313" s="1094"/>
      <c r="P313" s="1135" t="s">
        <v>1285</v>
      </c>
      <c r="Q313" s="1136">
        <v>8</v>
      </c>
      <c r="R313" s="1137">
        <v>0.2</v>
      </c>
      <c r="S313" s="1138">
        <f>(H312/R313+1)</f>
        <v>8.5</v>
      </c>
      <c r="T313" s="1139">
        <f>(F312+G312+0.3)-(0.03*2)</f>
        <v>0.7</v>
      </c>
      <c r="U313" s="1131">
        <v>2</v>
      </c>
      <c r="V313" s="1139">
        <f>6*Q313/1000</f>
        <v>4.8000000000000001E-2</v>
      </c>
      <c r="W313" s="1140">
        <v>8</v>
      </c>
      <c r="X313" s="1122">
        <f>I312*(((((T313)+(V313*U313))*S313)*W313))</f>
        <v>54.127999999999993</v>
      </c>
      <c r="Y313" s="1141" t="s">
        <v>1286</v>
      </c>
      <c r="Z313" s="1142">
        <v>13</v>
      </c>
      <c r="AA313" s="1137">
        <v>0.15</v>
      </c>
      <c r="AB313" s="1138">
        <f>($G$19)/AA313+1</f>
        <v>2</v>
      </c>
      <c r="AC313" s="1139">
        <f>0.71+2.72</f>
        <v>3.43</v>
      </c>
      <c r="AD313" s="1131">
        <v>2</v>
      </c>
      <c r="AE313" s="1139">
        <f>6*Z313/1000</f>
        <v>7.8E-2</v>
      </c>
      <c r="AF313" s="1131">
        <v>2</v>
      </c>
      <c r="AG313" s="1143">
        <f t="shared" si="256"/>
        <v>1.04</v>
      </c>
      <c r="AH313" s="1140">
        <v>1</v>
      </c>
      <c r="AI313" s="1122">
        <f t="shared" ref="AI313:AI314" si="260">$J$11*((((AC313)+(AE313*AD313)+(AG313*AF313))*AH313)*AB313)</f>
        <v>90.656000000000006</v>
      </c>
      <c r="AJ313" s="1144">
        <f t="shared" si="257"/>
        <v>0</v>
      </c>
      <c r="AK313" s="1145">
        <f t="shared" si="258"/>
        <v>94.478661333333335</v>
      </c>
      <c r="AL313" s="1146">
        <f t="shared" si="259"/>
        <v>0</v>
      </c>
    </row>
    <row r="314" spans="1:38" ht="18.75">
      <c r="A314" s="1126"/>
      <c r="B314" s="1127"/>
      <c r="C314" s="1128"/>
      <c r="D314" s="1127"/>
      <c r="E314" s="1127"/>
      <c r="F314" s="1129"/>
      <c r="G314" s="1129"/>
      <c r="H314" s="1129"/>
      <c r="I314" s="1130"/>
      <c r="J314" s="1131"/>
      <c r="K314" s="1132"/>
      <c r="L314" s="1133">
        <f>I314*(F314*G314*H314)</f>
        <v>0</v>
      </c>
      <c r="M314" s="1127" t="s">
        <v>1288</v>
      </c>
      <c r="N314" s="1134"/>
      <c r="O314" s="1094"/>
      <c r="P314" s="1135"/>
      <c r="Q314" s="1136"/>
      <c r="R314" s="1137"/>
      <c r="S314" s="1138"/>
      <c r="T314" s="1139"/>
      <c r="U314" s="1131"/>
      <c r="V314" s="1139"/>
      <c r="W314" s="1140"/>
      <c r="X314" s="1122"/>
      <c r="Y314" s="1141" t="s">
        <v>1289</v>
      </c>
      <c r="Z314" s="1142">
        <v>13</v>
      </c>
      <c r="AA314" s="1137">
        <v>0.15</v>
      </c>
      <c r="AB314" s="1138">
        <f>($G$19)/AA314+1</f>
        <v>2</v>
      </c>
      <c r="AC314" s="1139">
        <v>2.11</v>
      </c>
      <c r="AD314" s="1131">
        <v>2</v>
      </c>
      <c r="AE314" s="1139">
        <f>6*Z314/1000</f>
        <v>7.8E-2</v>
      </c>
      <c r="AF314" s="1131">
        <v>2</v>
      </c>
      <c r="AG314" s="1143">
        <f t="shared" si="256"/>
        <v>1.04</v>
      </c>
      <c r="AH314" s="1140">
        <v>1</v>
      </c>
      <c r="AI314" s="1122">
        <f t="shared" si="260"/>
        <v>69.536000000000001</v>
      </c>
      <c r="AJ314" s="1144">
        <f t="shared" si="257"/>
        <v>0</v>
      </c>
      <c r="AK314" s="1145">
        <f t="shared" si="258"/>
        <v>72.468101333333337</v>
      </c>
      <c r="AL314" s="1146">
        <f t="shared" si="259"/>
        <v>0</v>
      </c>
    </row>
    <row r="315" spans="1:38" ht="18.75">
      <c r="A315" s="1126"/>
      <c r="B315" s="1127"/>
      <c r="C315" s="1128"/>
      <c r="D315" s="1127"/>
      <c r="E315" s="1127"/>
      <c r="F315" s="1129"/>
      <c r="G315" s="1129"/>
      <c r="H315" s="1129"/>
      <c r="I315" s="1130"/>
      <c r="J315" s="1131"/>
      <c r="K315" s="1132"/>
      <c r="L315" s="1133"/>
      <c r="M315" s="1127" t="s">
        <v>1290</v>
      </c>
      <c r="N315" s="1134"/>
      <c r="O315" s="1094"/>
      <c r="P315" s="1135"/>
      <c r="Q315" s="1136"/>
      <c r="R315" s="1137"/>
      <c r="S315" s="1138"/>
      <c r="T315" s="1139"/>
      <c r="U315" s="1131"/>
      <c r="V315" s="1139"/>
      <c r="W315" s="1140"/>
      <c r="X315" s="1145"/>
      <c r="Y315" s="1184" t="s">
        <v>1294</v>
      </c>
      <c r="Z315" s="1137">
        <v>13</v>
      </c>
      <c r="AA315" s="1137">
        <v>0.15</v>
      </c>
      <c r="AB315" s="1138">
        <f>($G$19)/AA315+1</f>
        <v>2</v>
      </c>
      <c r="AC315" s="1139">
        <v>0.71</v>
      </c>
      <c r="AD315" s="1131">
        <v>2</v>
      </c>
      <c r="AE315" s="1139">
        <f t="shared" ref="AE315:AE316" si="261">6*Z315/1000</f>
        <v>7.8E-2</v>
      </c>
      <c r="AF315" s="1131">
        <v>2</v>
      </c>
      <c r="AG315" s="1143">
        <f t="shared" si="256"/>
        <v>1.04</v>
      </c>
      <c r="AH315" s="1140">
        <v>2</v>
      </c>
      <c r="AI315" s="1122">
        <f>$J$11*((((AC315)+(AE315*AD315)+(AG315*AF315))*AH315)*AB315)</f>
        <v>94.272000000000006</v>
      </c>
      <c r="AJ315" s="1144">
        <f t="shared" si="257"/>
        <v>0</v>
      </c>
      <c r="AK315" s="1145">
        <f t="shared" si="258"/>
        <v>98.247136000000012</v>
      </c>
      <c r="AL315" s="1146">
        <f t="shared" si="259"/>
        <v>0</v>
      </c>
    </row>
    <row r="316" spans="1:38" ht="18.75">
      <c r="A316" s="1126"/>
      <c r="B316" s="1127"/>
      <c r="C316" s="1128"/>
      <c r="D316" s="1127"/>
      <c r="E316" s="1127"/>
      <c r="F316" s="1129"/>
      <c r="G316" s="1129"/>
      <c r="H316" s="1129"/>
      <c r="I316" s="1130"/>
      <c r="J316" s="1131"/>
      <c r="K316" s="1132"/>
      <c r="L316" s="1133"/>
      <c r="M316" s="1127" t="s">
        <v>1292</v>
      </c>
      <c r="N316" s="1134">
        <f>I313*(F313*H313)</f>
        <v>4.08</v>
      </c>
      <c r="O316" s="1094"/>
      <c r="P316" s="1135"/>
      <c r="Q316" s="1136"/>
      <c r="R316" s="1137"/>
      <c r="S316" s="1138"/>
      <c r="T316" s="1139"/>
      <c r="U316" s="1131"/>
      <c r="V316" s="1139"/>
      <c r="W316" s="1140"/>
      <c r="X316" s="1122"/>
      <c r="Y316" s="1141" t="s">
        <v>1291</v>
      </c>
      <c r="Z316" s="1142">
        <v>8</v>
      </c>
      <c r="AA316" s="1137">
        <v>0.15</v>
      </c>
      <c r="AB316" s="1138">
        <f>(H313)/AA316+1</f>
        <v>19.133333333333336</v>
      </c>
      <c r="AC316" s="1139">
        <f>(F313+0.3)-0.06</f>
        <v>1.74</v>
      </c>
      <c r="AD316" s="1131">
        <v>2</v>
      </c>
      <c r="AE316" s="1139">
        <f t="shared" si="261"/>
        <v>4.8000000000000001E-2</v>
      </c>
      <c r="AF316" s="1131">
        <v>0</v>
      </c>
      <c r="AG316" s="1143">
        <f t="shared" si="256"/>
        <v>0</v>
      </c>
      <c r="AH316" s="1140">
        <v>2</v>
      </c>
      <c r="AI316" s="1122">
        <f>$J$11*((((AC316)+(AE316*AD316)+(AG316*AF316))*AH316)*AB316)</f>
        <v>562.06080000000009</v>
      </c>
      <c r="AJ316" s="1144">
        <f t="shared" si="257"/>
        <v>0</v>
      </c>
      <c r="AK316" s="1145">
        <f t="shared" si="258"/>
        <v>0</v>
      </c>
      <c r="AL316" s="1146">
        <f t="shared" si="259"/>
        <v>0</v>
      </c>
    </row>
    <row r="317" spans="1:38" ht="19.5" thickBot="1">
      <c r="A317" s="1126"/>
      <c r="B317" s="1127"/>
      <c r="C317" s="1128"/>
      <c r="D317" s="1127"/>
      <c r="E317" s="1127"/>
      <c r="F317" s="1129"/>
      <c r="G317" s="1129"/>
      <c r="H317" s="1129"/>
      <c r="I317" s="1130"/>
      <c r="J317" s="1131"/>
      <c r="K317" s="1132"/>
      <c r="L317" s="1133"/>
      <c r="M317" s="1127"/>
      <c r="N317" s="1134"/>
      <c r="O317" s="1094"/>
      <c r="P317" s="1135"/>
      <c r="Q317" s="1136"/>
      <c r="R317" s="1137"/>
      <c r="S317" s="1138"/>
      <c r="T317" s="1139"/>
      <c r="U317" s="1131"/>
      <c r="V317" s="1139"/>
      <c r="W317" s="1140"/>
      <c r="X317" s="1122"/>
      <c r="Y317" s="1141"/>
      <c r="Z317" s="1142"/>
      <c r="AA317" s="1137"/>
      <c r="AB317" s="1138"/>
      <c r="AC317" s="1139"/>
      <c r="AD317" s="1131"/>
      <c r="AE317" s="1139"/>
      <c r="AF317" s="1131"/>
      <c r="AG317" s="1139"/>
      <c r="AH317" s="1140"/>
      <c r="AI317" s="1122"/>
      <c r="AJ317" s="1144">
        <f t="shared" si="257"/>
        <v>0</v>
      </c>
      <c r="AK317" s="1145">
        <f t="shared" si="258"/>
        <v>0</v>
      </c>
      <c r="AL317" s="1146">
        <f t="shared" si="259"/>
        <v>0</v>
      </c>
    </row>
    <row r="318" spans="1:38" ht="20.25" thickTop="1" thickBot="1">
      <c r="A318" s="1188"/>
      <c r="B318" s="1189"/>
      <c r="C318" s="1190"/>
      <c r="D318" s="1189"/>
      <c r="E318" s="1191" t="s">
        <v>468</v>
      </c>
      <c r="F318" s="1192"/>
      <c r="G318" s="1192"/>
      <c r="H318" s="1192"/>
      <c r="I318" s="1192"/>
      <c r="J318" s="1192"/>
      <c r="K318" s="1193"/>
      <c r="L318" s="1194">
        <f>SUM(L297:L317)</f>
        <v>3.5158499999999995</v>
      </c>
      <c r="M318" s="1189"/>
      <c r="N318" s="1194">
        <f>SUM(N297:N317)</f>
        <v>23.439</v>
      </c>
      <c r="O318" s="1195"/>
      <c r="P318" s="1196"/>
      <c r="Q318" s="1188"/>
      <c r="R318" s="1197"/>
      <c r="S318" s="1198"/>
      <c r="T318" s="1199"/>
      <c r="U318" s="1200"/>
      <c r="V318" s="1199"/>
      <c r="W318" s="1201"/>
      <c r="X318" s="1202"/>
      <c r="Y318" s="1203"/>
      <c r="Z318" s="1204"/>
      <c r="AA318" s="1197"/>
      <c r="AB318" s="1198"/>
      <c r="AC318" s="1199"/>
      <c r="AD318" s="1200"/>
      <c r="AE318" s="1199"/>
      <c r="AF318" s="1200"/>
      <c r="AG318" s="1199"/>
      <c r="AH318" s="1201"/>
      <c r="AI318" s="1202"/>
      <c r="AJ318" s="1205">
        <f>SUM(AJ297:AJ317)</f>
        <v>0</v>
      </c>
      <c r="AK318" s="1205">
        <f t="shared" ref="AK318:AL318" si="262">SUM(AK297:AK317)</f>
        <v>1195.4068533333334</v>
      </c>
      <c r="AL318" s="1206">
        <f t="shared" si="262"/>
        <v>0</v>
      </c>
    </row>
    <row r="319" spans="1:38" ht="20.25" thickTop="1" thickBot="1">
      <c r="A319" s="1136"/>
      <c r="B319" s="1148"/>
      <c r="C319" s="1128"/>
      <c r="D319" s="1127"/>
      <c r="E319" s="1127"/>
      <c r="F319" s="1129"/>
      <c r="G319" s="1129"/>
      <c r="H319" s="1129"/>
      <c r="I319" s="1181"/>
      <c r="J319" s="1131"/>
      <c r="K319" s="1132"/>
      <c r="L319" s="1133"/>
      <c r="M319" s="1127"/>
      <c r="N319" s="1134"/>
      <c r="O319" s="1094"/>
      <c r="P319" s="1182"/>
      <c r="Q319" s="1136"/>
      <c r="R319" s="1137"/>
      <c r="S319" s="1138"/>
      <c r="T319" s="1139"/>
      <c r="U319" s="1131"/>
      <c r="V319" s="1139"/>
      <c r="W319" s="1140"/>
      <c r="X319" s="1122"/>
      <c r="Y319" s="1183"/>
      <c r="Z319" s="1142"/>
      <c r="AA319" s="1137"/>
      <c r="AB319" s="1138"/>
      <c r="AC319" s="1139"/>
      <c r="AD319" s="1131"/>
      <c r="AE319" s="1139"/>
      <c r="AF319" s="1131"/>
      <c r="AG319" s="1139"/>
      <c r="AH319" s="1140"/>
      <c r="AI319" s="1122"/>
      <c r="AJ319" s="1144"/>
      <c r="AK319" s="1145"/>
      <c r="AL319" s="1207"/>
    </row>
    <row r="320" spans="1:38" ht="19.5" thickTop="1">
      <c r="A320" s="1136"/>
      <c r="B320" s="1166" t="s">
        <v>1277</v>
      </c>
      <c r="C320" s="1106" t="s">
        <v>1302</v>
      </c>
      <c r="D320" s="1127">
        <v>1</v>
      </c>
      <c r="E320" s="1127" t="s">
        <v>1279</v>
      </c>
      <c r="F320" s="1129">
        <v>0.3</v>
      </c>
      <c r="G320" s="1129">
        <v>0.16</v>
      </c>
      <c r="H320" s="1129">
        <v>1.5</v>
      </c>
      <c r="I320" s="1181">
        <v>1</v>
      </c>
      <c r="J320" s="1131">
        <v>8</v>
      </c>
      <c r="K320" s="1132"/>
      <c r="L320" s="1133">
        <f>I320*(((F320*G320*H320)/2)*J320)</f>
        <v>0.28800000000000003</v>
      </c>
      <c r="M320" s="1127" t="s">
        <v>1280</v>
      </c>
      <c r="N320" s="1134">
        <f>I320*(G320*H320*J320)</f>
        <v>1.92</v>
      </c>
      <c r="O320" s="1094"/>
      <c r="P320" s="1182" t="s">
        <v>1281</v>
      </c>
      <c r="Q320" s="1136">
        <v>8</v>
      </c>
      <c r="R320" s="1137"/>
      <c r="S320" s="1138">
        <v>1</v>
      </c>
      <c r="T320" s="1139">
        <f>(H320+0.4)-0.06</f>
        <v>1.8399999999999999</v>
      </c>
      <c r="U320" s="1131">
        <v>2</v>
      </c>
      <c r="V320" s="1139">
        <f>6*Q320/1000</f>
        <v>4.8000000000000001E-2</v>
      </c>
      <c r="W320" s="1140">
        <v>8</v>
      </c>
      <c r="X320" s="1122">
        <f>I320*((((T320)+(V320*U320)*S320)*W320))</f>
        <v>15.488</v>
      </c>
      <c r="Y320" s="1183" t="s">
        <v>1282</v>
      </c>
      <c r="Z320" s="1142">
        <v>13</v>
      </c>
      <c r="AA320" s="1137">
        <v>0.15</v>
      </c>
      <c r="AB320" s="1138">
        <f>($G$19)/AA320+1</f>
        <v>2</v>
      </c>
      <c r="AC320" s="1139">
        <v>3.77</v>
      </c>
      <c r="AD320" s="1131">
        <v>2</v>
      </c>
      <c r="AE320" s="1139">
        <f>6*Z320/1000</f>
        <v>7.8E-2</v>
      </c>
      <c r="AF320" s="1131">
        <v>2</v>
      </c>
      <c r="AG320" s="1143">
        <f t="shared" ref="AG320:AG324" si="263">(40*Z320/1000)*AF320</f>
        <v>1.04</v>
      </c>
      <c r="AH320" s="1140">
        <v>1</v>
      </c>
      <c r="AI320" s="1122">
        <f>$J$11*((((AC320)+(AE320*AD320)+(AG320*AF320))*AH320)*AB320)</f>
        <v>96.096000000000004</v>
      </c>
      <c r="AJ320" s="1144">
        <f t="shared" ref="AJ320:AJ325" si="264">((IF(Q320=$AK$7,X320,0)+(IF(Z320=$AK$7,AI320,0))))*$AK$9</f>
        <v>0</v>
      </c>
      <c r="AK320" s="1145">
        <f t="shared" ref="AK320:AK325" si="265">((IF(Q320=$AL$7,X320,0)+(IF(Z320=$AL$7,AI320,0))))*$AL$9</f>
        <v>100.148048</v>
      </c>
      <c r="AL320" s="1146">
        <f t="shared" ref="AL320:AL325" si="266">((IF(Q320=$AM$7,X320,0)+(IF(Z320=$AM$7,AI320,0))))*$AM$9</f>
        <v>0</v>
      </c>
    </row>
    <row r="321" spans="1:38" ht="18.75">
      <c r="A321" s="1126"/>
      <c r="B321" s="1127"/>
      <c r="C321" s="1128"/>
      <c r="D321" s="1127"/>
      <c r="E321" s="1127" t="s">
        <v>1283</v>
      </c>
      <c r="F321" s="1129">
        <v>1.5</v>
      </c>
      <c r="G321" s="1129">
        <v>0.15</v>
      </c>
      <c r="H321" s="1129">
        <v>2.4</v>
      </c>
      <c r="I321" s="1130">
        <v>1</v>
      </c>
      <c r="J321" s="1131"/>
      <c r="K321" s="1132"/>
      <c r="L321" s="1133">
        <f>I321*(F321*G321*H321)</f>
        <v>0.53999999999999992</v>
      </c>
      <c r="M321" s="1127" t="s">
        <v>1284</v>
      </c>
      <c r="N321" s="1134"/>
      <c r="O321" s="1094"/>
      <c r="P321" s="1135" t="s">
        <v>1285</v>
      </c>
      <c r="Q321" s="1136">
        <v>8</v>
      </c>
      <c r="R321" s="1137">
        <v>0.2</v>
      </c>
      <c r="S321" s="1138">
        <f>(H320/R321+1)</f>
        <v>8.5</v>
      </c>
      <c r="T321" s="1139">
        <f>(F320+G320+0.3)-(0.03*2)</f>
        <v>0.7</v>
      </c>
      <c r="U321" s="1131">
        <v>2</v>
      </c>
      <c r="V321" s="1139">
        <f>6*Q321/1000</f>
        <v>4.8000000000000001E-2</v>
      </c>
      <c r="W321" s="1140">
        <v>8</v>
      </c>
      <c r="X321" s="1122">
        <f>I320*(((((T321)+(V321*U321))*S321)*W321))</f>
        <v>54.127999999999993</v>
      </c>
      <c r="Y321" s="1141" t="s">
        <v>1286</v>
      </c>
      <c r="Z321" s="1142">
        <v>13</v>
      </c>
      <c r="AA321" s="1137">
        <v>0.15</v>
      </c>
      <c r="AB321" s="1138">
        <f>($G$19)/AA321+1</f>
        <v>2</v>
      </c>
      <c r="AC321" s="1139">
        <v>4.12</v>
      </c>
      <c r="AD321" s="1131">
        <v>2</v>
      </c>
      <c r="AE321" s="1139">
        <f>6*Z321/1000</f>
        <v>7.8E-2</v>
      </c>
      <c r="AF321" s="1131">
        <v>2</v>
      </c>
      <c r="AG321" s="1143">
        <f t="shared" si="263"/>
        <v>1.04</v>
      </c>
      <c r="AH321" s="1140">
        <v>1</v>
      </c>
      <c r="AI321" s="1122">
        <f t="shared" ref="AI321:AI322" si="267">$J$11*((((AC321)+(AE321*AD321)+(AG321*AF321))*AH321)*AB321)</f>
        <v>101.696</v>
      </c>
      <c r="AJ321" s="1144">
        <f t="shared" si="264"/>
        <v>0</v>
      </c>
      <c r="AK321" s="1145">
        <f t="shared" si="265"/>
        <v>105.98418133333334</v>
      </c>
      <c r="AL321" s="1146">
        <f t="shared" si="266"/>
        <v>0</v>
      </c>
    </row>
    <row r="322" spans="1:38" ht="18.75">
      <c r="A322" s="1126"/>
      <c r="B322" s="1127"/>
      <c r="C322" s="1128"/>
      <c r="D322" s="1127"/>
      <c r="E322" s="1127" t="s">
        <v>1287</v>
      </c>
      <c r="F322" s="1129">
        <v>1.5</v>
      </c>
      <c r="G322" s="1129">
        <v>0.15</v>
      </c>
      <c r="H322" s="1129">
        <v>1.536</v>
      </c>
      <c r="I322" s="1130">
        <v>1</v>
      </c>
      <c r="J322" s="1131"/>
      <c r="K322" s="1132"/>
      <c r="L322" s="1133">
        <f>I322*(F322*G322*H322)</f>
        <v>0.34559999999999996</v>
      </c>
      <c r="M322" s="1127" t="s">
        <v>1288</v>
      </c>
      <c r="N322" s="1134"/>
      <c r="O322" s="1094"/>
      <c r="P322" s="1135"/>
      <c r="Q322" s="1136"/>
      <c r="R322" s="1137"/>
      <c r="S322" s="1138"/>
      <c r="T322" s="1139"/>
      <c r="U322" s="1131"/>
      <c r="V322" s="1139"/>
      <c r="W322" s="1140"/>
      <c r="X322" s="1122"/>
      <c r="Y322" s="1141" t="s">
        <v>1289</v>
      </c>
      <c r="Z322" s="1142">
        <v>13</v>
      </c>
      <c r="AA322" s="1137">
        <v>0.15</v>
      </c>
      <c r="AB322" s="1138">
        <f>($G$19)/AA322+1</f>
        <v>2</v>
      </c>
      <c r="AC322" s="1139">
        <v>1.37</v>
      </c>
      <c r="AD322" s="1131">
        <v>2</v>
      </c>
      <c r="AE322" s="1139">
        <f>6*Z322/1000</f>
        <v>7.8E-2</v>
      </c>
      <c r="AF322" s="1131">
        <v>2</v>
      </c>
      <c r="AG322" s="1143">
        <f t="shared" si="263"/>
        <v>1.04</v>
      </c>
      <c r="AH322" s="1140">
        <v>1</v>
      </c>
      <c r="AI322" s="1122">
        <f t="shared" si="267"/>
        <v>57.695999999999998</v>
      </c>
      <c r="AJ322" s="1144">
        <f t="shared" si="264"/>
        <v>0</v>
      </c>
      <c r="AK322" s="1145">
        <f t="shared" si="265"/>
        <v>60.128847999999998</v>
      </c>
      <c r="AL322" s="1146">
        <f t="shared" si="266"/>
        <v>0</v>
      </c>
    </row>
    <row r="323" spans="1:38" ht="18.75">
      <c r="A323" s="1126"/>
      <c r="B323" s="1127"/>
      <c r="C323" s="1128"/>
      <c r="D323" s="1127"/>
      <c r="E323" s="1127"/>
      <c r="F323" s="1129"/>
      <c r="G323" s="1129"/>
      <c r="H323" s="1129"/>
      <c r="I323" s="1130"/>
      <c r="J323" s="1131"/>
      <c r="K323" s="1132"/>
      <c r="L323" s="1133"/>
      <c r="M323" s="1127" t="s">
        <v>1290</v>
      </c>
      <c r="N323" s="1134"/>
      <c r="O323" s="1094"/>
      <c r="P323" s="1135"/>
      <c r="Q323" s="1136"/>
      <c r="R323" s="1137"/>
      <c r="S323" s="1138"/>
      <c r="T323" s="1139"/>
      <c r="U323" s="1131"/>
      <c r="V323" s="1139"/>
      <c r="W323" s="1140"/>
      <c r="X323" s="1145"/>
      <c r="Y323" s="1184" t="s">
        <v>1294</v>
      </c>
      <c r="Z323" s="1137">
        <v>13</v>
      </c>
      <c r="AA323" s="1137">
        <v>0.15</v>
      </c>
      <c r="AB323" s="1138">
        <f>($G$19)/AA323+1</f>
        <v>2</v>
      </c>
      <c r="AC323" s="1139">
        <v>1.74</v>
      </c>
      <c r="AD323" s="1131">
        <v>2</v>
      </c>
      <c r="AE323" s="1139">
        <f t="shared" ref="AE323:AE324" si="268">6*Z323/1000</f>
        <v>7.8E-2</v>
      </c>
      <c r="AF323" s="1131">
        <v>2</v>
      </c>
      <c r="AG323" s="1143">
        <f t="shared" si="263"/>
        <v>1.04</v>
      </c>
      <c r="AH323" s="1140">
        <v>2</v>
      </c>
      <c r="AI323" s="1122">
        <f>$J$11*((((AC323)+(AE323*AD323)+(AG323*AF323))*AH323)*AB323)</f>
        <v>127.232</v>
      </c>
      <c r="AJ323" s="1144">
        <f t="shared" si="264"/>
        <v>0</v>
      </c>
      <c r="AK323" s="1145">
        <f t="shared" si="265"/>
        <v>132.59694933333333</v>
      </c>
      <c r="AL323" s="1146">
        <f t="shared" si="266"/>
        <v>0</v>
      </c>
    </row>
    <row r="324" spans="1:38" ht="18.75">
      <c r="A324" s="1126"/>
      <c r="B324" s="1127"/>
      <c r="C324" s="1128"/>
      <c r="D324" s="1127"/>
      <c r="E324" s="1127"/>
      <c r="F324" s="1129"/>
      <c r="G324" s="1129"/>
      <c r="H324" s="1129"/>
      <c r="I324" s="1130"/>
      <c r="J324" s="1131"/>
      <c r="K324" s="1132"/>
      <c r="L324" s="1133"/>
      <c r="M324" s="1127" t="s">
        <v>1292</v>
      </c>
      <c r="N324" s="1134">
        <f>I321*(F321*H321)</f>
        <v>3.5999999999999996</v>
      </c>
      <c r="O324" s="1094"/>
      <c r="P324" s="1135"/>
      <c r="Q324" s="1136"/>
      <c r="R324" s="1137"/>
      <c r="S324" s="1138"/>
      <c r="T324" s="1139"/>
      <c r="U324" s="1131"/>
      <c r="V324" s="1139"/>
      <c r="W324" s="1140"/>
      <c r="X324" s="1122"/>
      <c r="Y324" s="1141" t="s">
        <v>1291</v>
      </c>
      <c r="Z324" s="1142">
        <v>8</v>
      </c>
      <c r="AA324" s="1137">
        <v>0.15</v>
      </c>
      <c r="AB324" s="1138">
        <f>(H321)/AA324+1</f>
        <v>17</v>
      </c>
      <c r="AC324" s="1139">
        <f>(F321+0.3)-0.06</f>
        <v>1.74</v>
      </c>
      <c r="AD324" s="1131">
        <v>2</v>
      </c>
      <c r="AE324" s="1139">
        <f t="shared" si="268"/>
        <v>4.8000000000000001E-2</v>
      </c>
      <c r="AF324" s="1131">
        <v>0</v>
      </c>
      <c r="AG324" s="1143">
        <f t="shared" si="263"/>
        <v>0</v>
      </c>
      <c r="AH324" s="1140">
        <v>2</v>
      </c>
      <c r="AI324" s="1122">
        <f>$J$11*((((AC324)+(AE324*AD324)+(AG324*AF324))*AH324)*AB324)</f>
        <v>499.392</v>
      </c>
      <c r="AJ324" s="1144">
        <f t="shared" si="264"/>
        <v>0</v>
      </c>
      <c r="AK324" s="1145">
        <f t="shared" si="265"/>
        <v>0</v>
      </c>
      <c r="AL324" s="1146">
        <f t="shared" si="266"/>
        <v>0</v>
      </c>
    </row>
    <row r="325" spans="1:38" ht="18.75">
      <c r="A325" s="1126"/>
      <c r="B325" s="1127"/>
      <c r="C325" s="1128"/>
      <c r="D325" s="1127"/>
      <c r="E325" s="1127"/>
      <c r="F325" s="1129"/>
      <c r="G325" s="1129"/>
      <c r="H325" s="1129"/>
      <c r="I325" s="1130"/>
      <c r="J325" s="1131"/>
      <c r="K325" s="1132"/>
      <c r="L325" s="1133"/>
      <c r="M325" s="1127" t="s">
        <v>1293</v>
      </c>
      <c r="N325" s="1134">
        <f>I322*(F322*H322)</f>
        <v>2.3040000000000003</v>
      </c>
      <c r="O325" s="1094"/>
      <c r="P325" s="1135"/>
      <c r="Q325" s="1136"/>
      <c r="R325" s="1137"/>
      <c r="S325" s="1138"/>
      <c r="T325" s="1139"/>
      <c r="U325" s="1131"/>
      <c r="V325" s="1139"/>
      <c r="W325" s="1140"/>
      <c r="X325" s="1122"/>
      <c r="Y325" s="1141"/>
      <c r="Z325" s="1142"/>
      <c r="AA325" s="1137"/>
      <c r="AB325" s="1138"/>
      <c r="AC325" s="1139"/>
      <c r="AD325" s="1131"/>
      <c r="AE325" s="1139"/>
      <c r="AF325" s="1131"/>
      <c r="AG325" s="1139"/>
      <c r="AH325" s="1140"/>
      <c r="AI325" s="1122"/>
      <c r="AJ325" s="1144">
        <f t="shared" si="264"/>
        <v>0</v>
      </c>
      <c r="AK325" s="1145">
        <f t="shared" si="265"/>
        <v>0</v>
      </c>
      <c r="AL325" s="1146">
        <f t="shared" si="266"/>
        <v>0</v>
      </c>
    </row>
    <row r="326" spans="1:38" ht="18.75">
      <c r="A326" s="1126"/>
      <c r="B326" s="1127"/>
      <c r="C326" s="1128"/>
      <c r="D326" s="1127"/>
      <c r="E326" s="1127"/>
      <c r="F326" s="1168"/>
      <c r="G326" s="1168"/>
      <c r="H326" s="1168"/>
      <c r="I326" s="1130"/>
      <c r="J326" s="1169"/>
      <c r="K326" s="1132"/>
      <c r="L326" s="1133"/>
      <c r="M326" s="1127"/>
      <c r="N326" s="1134"/>
      <c r="O326" s="1094"/>
      <c r="P326" s="1135"/>
      <c r="Q326" s="1136"/>
      <c r="R326" s="1137"/>
      <c r="S326" s="1138"/>
      <c r="T326" s="1139"/>
      <c r="U326" s="1131"/>
      <c r="V326" s="1139"/>
      <c r="W326" s="1140"/>
      <c r="X326" s="1122"/>
      <c r="Y326" s="1141"/>
      <c r="Z326" s="1142"/>
      <c r="AA326" s="1137"/>
      <c r="AB326" s="1138"/>
      <c r="AC326" s="1139"/>
      <c r="AD326" s="1131"/>
      <c r="AE326" s="1139"/>
      <c r="AF326" s="1131"/>
      <c r="AG326" s="1139"/>
      <c r="AH326" s="1140"/>
      <c r="AI326" s="1122"/>
      <c r="AJ326" s="1144"/>
      <c r="AK326" s="1145"/>
      <c r="AL326" s="1146"/>
    </row>
    <row r="327" spans="1:38" ht="18.75">
      <c r="A327" s="1136"/>
      <c r="B327" s="1166"/>
      <c r="C327" s="1128"/>
      <c r="D327" s="1127">
        <v>2</v>
      </c>
      <c r="E327" s="1127" t="s">
        <v>1279</v>
      </c>
      <c r="F327" s="1129">
        <v>0.3</v>
      </c>
      <c r="G327" s="1129">
        <v>0.16</v>
      </c>
      <c r="H327" s="1129">
        <v>1.5</v>
      </c>
      <c r="I327" s="1181">
        <v>1</v>
      </c>
      <c r="J327" s="1131">
        <v>9</v>
      </c>
      <c r="K327" s="1132"/>
      <c r="L327" s="1133">
        <f>I327*(((F327*G327*H327)/2)*J327)</f>
        <v>0.32400000000000007</v>
      </c>
      <c r="M327" s="1127" t="s">
        <v>1280</v>
      </c>
      <c r="N327" s="1134">
        <f>I327*(G327*H327*J327)</f>
        <v>2.16</v>
      </c>
      <c r="O327" s="1094"/>
      <c r="P327" s="1182" t="s">
        <v>1281</v>
      </c>
      <c r="Q327" s="1136">
        <v>8</v>
      </c>
      <c r="R327" s="1137"/>
      <c r="S327" s="1138">
        <v>1</v>
      </c>
      <c r="T327" s="1139">
        <f>(H327+0.4)-0.06</f>
        <v>1.8399999999999999</v>
      </c>
      <c r="U327" s="1131">
        <v>2</v>
      </c>
      <c r="V327" s="1139">
        <f>6*Q327/1000</f>
        <v>4.8000000000000001E-2</v>
      </c>
      <c r="W327" s="1140">
        <v>9</v>
      </c>
      <c r="X327" s="1122">
        <f>I327*((((T327)+(V327*U327)*S327)*W327))</f>
        <v>17.423999999999999</v>
      </c>
      <c r="Y327" s="1183" t="s">
        <v>1282</v>
      </c>
      <c r="Z327" s="1142">
        <v>13</v>
      </c>
      <c r="AA327" s="1137">
        <v>0.15</v>
      </c>
      <c r="AB327" s="1138">
        <f>($G$19)/AA327+1</f>
        <v>2</v>
      </c>
      <c r="AC327" s="1139">
        <f>1.5+3.06</f>
        <v>4.5600000000000005</v>
      </c>
      <c r="AD327" s="1131">
        <v>2</v>
      </c>
      <c r="AE327" s="1139">
        <f>6*Z327/1000</f>
        <v>7.8E-2</v>
      </c>
      <c r="AF327" s="1131">
        <v>2</v>
      </c>
      <c r="AG327" s="1143">
        <f t="shared" ref="AG327:AG331" si="269">(40*Z327/1000)*AF327</f>
        <v>1.04</v>
      </c>
      <c r="AH327" s="1140">
        <v>1</v>
      </c>
      <c r="AI327" s="1122">
        <f>$J$11*((((AC327)+(AE327*AD327)+(AG327*AF327))*AH327)*AB327)</f>
        <v>108.736</v>
      </c>
      <c r="AJ327" s="1144">
        <f t="shared" ref="AJ327:AJ332" si="270">((IF(Q327=$AK$7,X327,0)+(IF(Z327=$AK$7,AI327,0))))*$AK$9</f>
        <v>0</v>
      </c>
      <c r="AK327" s="1145">
        <f t="shared" ref="AK327:AK332" si="271">((IF(Q327=$AL$7,X327,0)+(IF(Z327=$AL$7,AI327,0))))*$AL$9</f>
        <v>113.32103466666668</v>
      </c>
      <c r="AL327" s="1146">
        <f t="shared" ref="AL327:AL332" si="272">((IF(Q327=$AM$7,X327,0)+(IF(Z327=$AM$7,AI327,0))))*$AM$9</f>
        <v>0</v>
      </c>
    </row>
    <row r="328" spans="1:38" ht="18.75">
      <c r="A328" s="1126"/>
      <c r="B328" s="1127"/>
      <c r="C328" s="1128"/>
      <c r="D328" s="1127"/>
      <c r="E328" s="1127" t="s">
        <v>1283</v>
      </c>
      <c r="F328" s="1129">
        <v>1.5</v>
      </c>
      <c r="G328" s="1129">
        <v>0.15</v>
      </c>
      <c r="H328" s="1129">
        <f>0.34*9</f>
        <v>3.06</v>
      </c>
      <c r="I328" s="1130">
        <v>1</v>
      </c>
      <c r="J328" s="1131"/>
      <c r="K328" s="1132"/>
      <c r="L328" s="1133">
        <f>I328*(F328*G328*H328)</f>
        <v>0.68849999999999989</v>
      </c>
      <c r="M328" s="1127" t="s">
        <v>1284</v>
      </c>
      <c r="N328" s="1134"/>
      <c r="O328" s="1094"/>
      <c r="P328" s="1135" t="s">
        <v>1285</v>
      </c>
      <c r="Q328" s="1136">
        <v>8</v>
      </c>
      <c r="R328" s="1137">
        <v>0.2</v>
      </c>
      <c r="S328" s="1138">
        <f>(H327/R328+1)</f>
        <v>8.5</v>
      </c>
      <c r="T328" s="1139">
        <f>(F327+G327+0.3)-(0.03*2)</f>
        <v>0.7</v>
      </c>
      <c r="U328" s="1131">
        <v>2</v>
      </c>
      <c r="V328" s="1139">
        <f>6*Q328/1000</f>
        <v>4.8000000000000001E-2</v>
      </c>
      <c r="W328" s="1140">
        <v>9</v>
      </c>
      <c r="X328" s="1122">
        <f>I327*(((((T328)+(V328*U328))*S328)*W328))</f>
        <v>60.893999999999991</v>
      </c>
      <c r="Y328" s="1141" t="s">
        <v>1286</v>
      </c>
      <c r="Z328" s="1142">
        <v>13</v>
      </c>
      <c r="AA328" s="1137">
        <v>0.15</v>
      </c>
      <c r="AB328" s="1138">
        <f>($G$19)/AA328+1</f>
        <v>2</v>
      </c>
      <c r="AC328" s="1139">
        <f>1.5+3.06</f>
        <v>4.5600000000000005</v>
      </c>
      <c r="AD328" s="1131">
        <v>2</v>
      </c>
      <c r="AE328" s="1139">
        <f>6*Z328/1000</f>
        <v>7.8E-2</v>
      </c>
      <c r="AF328" s="1131">
        <v>2</v>
      </c>
      <c r="AG328" s="1143">
        <f t="shared" si="269"/>
        <v>1.04</v>
      </c>
      <c r="AH328" s="1140">
        <v>1</v>
      </c>
      <c r="AI328" s="1122">
        <f t="shared" ref="AI328:AI329" si="273">$J$11*((((AC328)+(AE328*AD328)+(AG328*AF328))*AH328)*AB328)</f>
        <v>108.736</v>
      </c>
      <c r="AJ328" s="1144">
        <f t="shared" si="270"/>
        <v>0</v>
      </c>
      <c r="AK328" s="1145">
        <f t="shared" si="271"/>
        <v>113.32103466666668</v>
      </c>
      <c r="AL328" s="1146">
        <f t="shared" si="272"/>
        <v>0</v>
      </c>
    </row>
    <row r="329" spans="1:38" ht="18.75">
      <c r="A329" s="1126"/>
      <c r="B329" s="1127"/>
      <c r="C329" s="1128"/>
      <c r="D329" s="1127"/>
      <c r="E329" s="1127" t="s">
        <v>1287</v>
      </c>
      <c r="F329" s="1129">
        <v>1.5</v>
      </c>
      <c r="G329" s="1129">
        <v>0.15</v>
      </c>
      <c r="H329" s="1129">
        <v>1.91</v>
      </c>
      <c r="I329" s="1130">
        <v>1</v>
      </c>
      <c r="J329" s="1131"/>
      <c r="K329" s="1132"/>
      <c r="L329" s="1133">
        <f>I329*(F329*G329*H329)</f>
        <v>0.42974999999999997</v>
      </c>
      <c r="M329" s="1127" t="s">
        <v>1288</v>
      </c>
      <c r="N329" s="1134"/>
      <c r="O329" s="1094"/>
      <c r="P329" s="1135"/>
      <c r="Q329" s="1136"/>
      <c r="R329" s="1137"/>
      <c r="S329" s="1138"/>
      <c r="T329" s="1139"/>
      <c r="U329" s="1131"/>
      <c r="V329" s="1139"/>
      <c r="W329" s="1140"/>
      <c r="X329" s="1122"/>
      <c r="Y329" s="1141" t="s">
        <v>1289</v>
      </c>
      <c r="Z329" s="1142">
        <v>13</v>
      </c>
      <c r="AA329" s="1137">
        <v>0.15</v>
      </c>
      <c r="AB329" s="1138">
        <f>($G$19)/AA329+1</f>
        <v>2</v>
      </c>
      <c r="AC329" s="1139">
        <v>1.5</v>
      </c>
      <c r="AD329" s="1131">
        <v>2</v>
      </c>
      <c r="AE329" s="1139">
        <f>6*Z329/1000</f>
        <v>7.8E-2</v>
      </c>
      <c r="AF329" s="1131">
        <v>2</v>
      </c>
      <c r="AG329" s="1143">
        <f t="shared" si="269"/>
        <v>1.04</v>
      </c>
      <c r="AH329" s="1140">
        <v>1</v>
      </c>
      <c r="AI329" s="1122">
        <f t="shared" si="273"/>
        <v>59.775999999999996</v>
      </c>
      <c r="AJ329" s="1144">
        <f t="shared" si="270"/>
        <v>0</v>
      </c>
      <c r="AK329" s="1145">
        <f t="shared" si="271"/>
        <v>62.296554666666665</v>
      </c>
      <c r="AL329" s="1146">
        <f t="shared" si="272"/>
        <v>0</v>
      </c>
    </row>
    <row r="330" spans="1:38" ht="18.75">
      <c r="A330" s="1126"/>
      <c r="B330" s="1127"/>
      <c r="C330" s="1128"/>
      <c r="D330" s="1127"/>
      <c r="E330" s="1127"/>
      <c r="F330" s="1129"/>
      <c r="G330" s="1129"/>
      <c r="H330" s="1129"/>
      <c r="I330" s="1130"/>
      <c r="J330" s="1131"/>
      <c r="K330" s="1132"/>
      <c r="L330" s="1133"/>
      <c r="M330" s="1127" t="s">
        <v>1290</v>
      </c>
      <c r="N330" s="1134"/>
      <c r="O330" s="1094"/>
      <c r="P330" s="1135"/>
      <c r="Q330" s="1136"/>
      <c r="R330" s="1137"/>
      <c r="S330" s="1138"/>
      <c r="T330" s="1139"/>
      <c r="U330" s="1131"/>
      <c r="V330" s="1139"/>
      <c r="W330" s="1140"/>
      <c r="X330" s="1145"/>
      <c r="Y330" s="1184" t="s">
        <v>1294</v>
      </c>
      <c r="Z330" s="1137">
        <v>13</v>
      </c>
      <c r="AA330" s="1137">
        <v>0.15</v>
      </c>
      <c r="AB330" s="1138">
        <f>($G$19)/AA330+1</f>
        <v>2</v>
      </c>
      <c r="AC330" s="1139">
        <v>1.5</v>
      </c>
      <c r="AD330" s="1131">
        <v>2</v>
      </c>
      <c r="AE330" s="1139">
        <f t="shared" ref="AE330:AE331" si="274">6*Z330/1000</f>
        <v>7.8E-2</v>
      </c>
      <c r="AF330" s="1131">
        <v>2</v>
      </c>
      <c r="AG330" s="1143">
        <f t="shared" si="269"/>
        <v>1.04</v>
      </c>
      <c r="AH330" s="1140">
        <v>2</v>
      </c>
      <c r="AI330" s="1122">
        <f>$J$11*((((AC330)+(AE330*AD330)+(AG330*AF330))*AH330)*AB330)</f>
        <v>119.55199999999999</v>
      </c>
      <c r="AJ330" s="1144">
        <f t="shared" si="270"/>
        <v>0</v>
      </c>
      <c r="AK330" s="1145">
        <f t="shared" si="271"/>
        <v>124.59310933333333</v>
      </c>
      <c r="AL330" s="1146">
        <f t="shared" si="272"/>
        <v>0</v>
      </c>
    </row>
    <row r="331" spans="1:38" ht="18.75">
      <c r="A331" s="1126"/>
      <c r="B331" s="1127"/>
      <c r="C331" s="1128"/>
      <c r="D331" s="1127"/>
      <c r="E331" s="1127"/>
      <c r="F331" s="1129"/>
      <c r="G331" s="1129"/>
      <c r="H331" s="1129"/>
      <c r="I331" s="1130"/>
      <c r="J331" s="1131"/>
      <c r="K331" s="1132"/>
      <c r="L331" s="1133"/>
      <c r="M331" s="1127" t="s">
        <v>1292</v>
      </c>
      <c r="N331" s="1134">
        <f>I328*(F328*H328)</f>
        <v>4.59</v>
      </c>
      <c r="O331" s="1094"/>
      <c r="P331" s="1135"/>
      <c r="Q331" s="1136"/>
      <c r="R331" s="1137"/>
      <c r="S331" s="1138"/>
      <c r="T331" s="1139"/>
      <c r="U331" s="1131"/>
      <c r="V331" s="1139"/>
      <c r="W331" s="1140"/>
      <c r="X331" s="1122"/>
      <c r="Y331" s="1141" t="s">
        <v>1291</v>
      </c>
      <c r="Z331" s="1142">
        <v>8</v>
      </c>
      <c r="AA331" s="1137">
        <v>0.15</v>
      </c>
      <c r="AB331" s="1138">
        <f>(H328)/AA331+1</f>
        <v>21.400000000000002</v>
      </c>
      <c r="AC331" s="1139">
        <f>(F328+0.3)-0.06</f>
        <v>1.74</v>
      </c>
      <c r="AD331" s="1131">
        <v>2</v>
      </c>
      <c r="AE331" s="1139">
        <f t="shared" si="274"/>
        <v>4.8000000000000001E-2</v>
      </c>
      <c r="AF331" s="1131">
        <v>0</v>
      </c>
      <c r="AG331" s="1143">
        <f t="shared" si="269"/>
        <v>0</v>
      </c>
      <c r="AH331" s="1140">
        <v>2</v>
      </c>
      <c r="AI331" s="1122">
        <f>$J$11*((((AC331)+(AE331*AD331)+(AG331*AF331))*AH331)*AB331)</f>
        <v>628.64640000000009</v>
      </c>
      <c r="AJ331" s="1144">
        <f t="shared" si="270"/>
        <v>0</v>
      </c>
      <c r="AK331" s="1145">
        <f t="shared" si="271"/>
        <v>0</v>
      </c>
      <c r="AL331" s="1146">
        <f t="shared" si="272"/>
        <v>0</v>
      </c>
    </row>
    <row r="332" spans="1:38" ht="18.75">
      <c r="A332" s="1126"/>
      <c r="B332" s="1127"/>
      <c r="C332" s="1128"/>
      <c r="D332" s="1127"/>
      <c r="E332" s="1127"/>
      <c r="F332" s="1129"/>
      <c r="G332" s="1129"/>
      <c r="H332" s="1129"/>
      <c r="I332" s="1130"/>
      <c r="J332" s="1131"/>
      <c r="K332" s="1132"/>
      <c r="L332" s="1133"/>
      <c r="M332" s="1127" t="s">
        <v>1293</v>
      </c>
      <c r="N332" s="1134">
        <f>I329*(F329*H329)</f>
        <v>2.8649999999999998</v>
      </c>
      <c r="O332" s="1094"/>
      <c r="P332" s="1135"/>
      <c r="Q332" s="1136"/>
      <c r="R332" s="1137"/>
      <c r="S332" s="1138"/>
      <c r="T332" s="1139"/>
      <c r="U332" s="1131"/>
      <c r="V332" s="1139"/>
      <c r="W332" s="1140"/>
      <c r="X332" s="1122"/>
      <c r="Y332" s="1141"/>
      <c r="Z332" s="1142"/>
      <c r="AA332" s="1137"/>
      <c r="AB332" s="1138"/>
      <c r="AC332" s="1139"/>
      <c r="AD332" s="1131"/>
      <c r="AE332" s="1139"/>
      <c r="AF332" s="1131"/>
      <c r="AG332" s="1139"/>
      <c r="AH332" s="1140"/>
      <c r="AI332" s="1122"/>
      <c r="AJ332" s="1144">
        <f t="shared" si="270"/>
        <v>0</v>
      </c>
      <c r="AK332" s="1145">
        <f t="shared" si="271"/>
        <v>0</v>
      </c>
      <c r="AL332" s="1146">
        <f t="shared" si="272"/>
        <v>0</v>
      </c>
    </row>
    <row r="333" spans="1:38" ht="18.75">
      <c r="A333" s="1126"/>
      <c r="B333" s="1127"/>
      <c r="C333" s="1128"/>
      <c r="D333" s="1127"/>
      <c r="E333" s="1127"/>
      <c r="F333" s="1168"/>
      <c r="G333" s="1168"/>
      <c r="H333" s="1168"/>
      <c r="I333" s="1130"/>
      <c r="J333" s="1169"/>
      <c r="K333" s="1132"/>
      <c r="L333" s="1133"/>
      <c r="M333" s="1127"/>
      <c r="N333" s="1134"/>
      <c r="O333" s="1094"/>
      <c r="P333" s="1135"/>
      <c r="Q333" s="1136"/>
      <c r="R333" s="1137"/>
      <c r="S333" s="1138"/>
      <c r="T333" s="1139"/>
      <c r="U333" s="1131"/>
      <c r="V333" s="1139"/>
      <c r="W333" s="1140"/>
      <c r="X333" s="1122"/>
      <c r="Y333" s="1141"/>
      <c r="Z333" s="1142"/>
      <c r="AA333" s="1137"/>
      <c r="AB333" s="1138"/>
      <c r="AC333" s="1139"/>
      <c r="AD333" s="1131"/>
      <c r="AE333" s="1139"/>
      <c r="AF333" s="1131"/>
      <c r="AG333" s="1139"/>
      <c r="AH333" s="1140"/>
      <c r="AI333" s="1122"/>
      <c r="AJ333" s="1144"/>
      <c r="AK333" s="1145"/>
      <c r="AL333" s="1146"/>
    </row>
    <row r="334" spans="1:38" ht="18.75">
      <c r="A334" s="1136"/>
      <c r="B334" s="1166"/>
      <c r="C334" s="1128"/>
      <c r="D334" s="1127">
        <v>3</v>
      </c>
      <c r="E334" s="1127" t="s">
        <v>1279</v>
      </c>
      <c r="F334" s="1129">
        <v>0.3</v>
      </c>
      <c r="G334" s="1129">
        <v>0.16</v>
      </c>
      <c r="H334" s="1129">
        <v>1.5</v>
      </c>
      <c r="I334" s="1181">
        <v>1</v>
      </c>
      <c r="J334" s="1131">
        <v>8</v>
      </c>
      <c r="K334" s="1132"/>
      <c r="L334" s="1133">
        <f>I334*(((F334*G334*H334)/2)*J334)</f>
        <v>0.28800000000000003</v>
      </c>
      <c r="M334" s="1127" t="s">
        <v>1280</v>
      </c>
      <c r="N334" s="1134">
        <f>I334*(G334*H334*J334)</f>
        <v>1.92</v>
      </c>
      <c r="O334" s="1094"/>
      <c r="P334" s="1182" t="s">
        <v>1281</v>
      </c>
      <c r="Q334" s="1136">
        <v>8</v>
      </c>
      <c r="R334" s="1137"/>
      <c r="S334" s="1138">
        <v>1</v>
      </c>
      <c r="T334" s="1139">
        <f>(H334+0.4)-0.06</f>
        <v>1.8399999999999999</v>
      </c>
      <c r="U334" s="1131">
        <v>2</v>
      </c>
      <c r="V334" s="1139">
        <f>6*Q334/1000</f>
        <v>4.8000000000000001E-2</v>
      </c>
      <c r="W334" s="1140">
        <v>8</v>
      </c>
      <c r="X334" s="1122">
        <f>I334*((((T334)+(V334*U334)*S334)*W334))</f>
        <v>15.488</v>
      </c>
      <c r="Y334" s="1183" t="s">
        <v>1282</v>
      </c>
      <c r="Z334" s="1142">
        <v>13</v>
      </c>
      <c r="AA334" s="1137">
        <v>0.15</v>
      </c>
      <c r="AB334" s="1138">
        <f>($G$19)/AA334+1</f>
        <v>2</v>
      </c>
      <c r="AC334" s="1139">
        <v>4.83</v>
      </c>
      <c r="AD334" s="1131">
        <v>2</v>
      </c>
      <c r="AE334" s="1139">
        <f>6*Z334/1000</f>
        <v>7.8E-2</v>
      </c>
      <c r="AF334" s="1131">
        <v>2</v>
      </c>
      <c r="AG334" s="1143">
        <f t="shared" ref="AG334:AG338" si="275">(40*Z334/1000)*AF334</f>
        <v>1.04</v>
      </c>
      <c r="AH334" s="1140">
        <v>1</v>
      </c>
      <c r="AI334" s="1122">
        <f>$J$11*((((AC334)+(AE334*AD334)+(AG334*AF334))*AH334)*AB334)</f>
        <v>113.056</v>
      </c>
      <c r="AJ334" s="1144">
        <f t="shared" ref="AJ334:AJ339" si="276">((IF(Q334=$AK$7,X334,0)+(IF(Z334=$AK$7,AI334,0))))*$AK$9</f>
        <v>0</v>
      </c>
      <c r="AK334" s="1145">
        <f t="shared" ref="AK334:AK339" si="277">((IF(Q334=$AL$7,X334,0)+(IF(Z334=$AL$7,AI334,0))))*$AL$9</f>
        <v>117.82319466666667</v>
      </c>
      <c r="AL334" s="1146">
        <f t="shared" ref="AL334:AL339" si="278">((IF(Q334=$AM$7,X334,0)+(IF(Z334=$AM$7,AI334,0))))*$AM$9</f>
        <v>0</v>
      </c>
    </row>
    <row r="335" spans="1:38" ht="18.75">
      <c r="A335" s="1126"/>
      <c r="B335" s="1127"/>
      <c r="C335" s="1128"/>
      <c r="D335" s="1127"/>
      <c r="E335" s="1127" t="s">
        <v>1283</v>
      </c>
      <c r="F335" s="1129">
        <v>1.5</v>
      </c>
      <c r="G335" s="1129">
        <v>0.15</v>
      </c>
      <c r="H335" s="1129">
        <v>2.72</v>
      </c>
      <c r="I335" s="1130">
        <v>1</v>
      </c>
      <c r="J335" s="1131"/>
      <c r="K335" s="1132"/>
      <c r="L335" s="1133">
        <f>I335*(F335*G335*H335)</f>
        <v>0.61199999999999999</v>
      </c>
      <c r="M335" s="1127" t="s">
        <v>1284</v>
      </c>
      <c r="N335" s="1134"/>
      <c r="O335" s="1094"/>
      <c r="P335" s="1135" t="s">
        <v>1285</v>
      </c>
      <c r="Q335" s="1136">
        <v>8</v>
      </c>
      <c r="R335" s="1137">
        <v>0.2</v>
      </c>
      <c r="S335" s="1138">
        <f>(H334/R335+1)</f>
        <v>8.5</v>
      </c>
      <c r="T335" s="1139">
        <f>(F334+G334+0.3)-(0.03*2)</f>
        <v>0.7</v>
      </c>
      <c r="U335" s="1131">
        <v>2</v>
      </c>
      <c r="V335" s="1139">
        <f>6*Q335/1000</f>
        <v>4.8000000000000001E-2</v>
      </c>
      <c r="W335" s="1140">
        <v>8</v>
      </c>
      <c r="X335" s="1122">
        <f>I334*(((((T335)+(V335*U335))*S335)*W335))</f>
        <v>54.127999999999993</v>
      </c>
      <c r="Y335" s="1141" t="s">
        <v>1286</v>
      </c>
      <c r="Z335" s="1142">
        <v>13</v>
      </c>
      <c r="AA335" s="1137">
        <v>0.15</v>
      </c>
      <c r="AB335" s="1138">
        <f>($G$19)/AA335+1</f>
        <v>2</v>
      </c>
      <c r="AC335" s="1139">
        <f>0.71+2.72</f>
        <v>3.43</v>
      </c>
      <c r="AD335" s="1131">
        <v>2</v>
      </c>
      <c r="AE335" s="1139">
        <f>6*Z335/1000</f>
        <v>7.8E-2</v>
      </c>
      <c r="AF335" s="1131">
        <v>2</v>
      </c>
      <c r="AG335" s="1143">
        <f t="shared" si="275"/>
        <v>1.04</v>
      </c>
      <c r="AH335" s="1140">
        <v>1</v>
      </c>
      <c r="AI335" s="1122">
        <f t="shared" ref="AI335:AI336" si="279">$J$11*((((AC335)+(AE335*AD335)+(AG335*AF335))*AH335)*AB335)</f>
        <v>90.656000000000006</v>
      </c>
      <c r="AJ335" s="1144">
        <f t="shared" si="276"/>
        <v>0</v>
      </c>
      <c r="AK335" s="1145">
        <f t="shared" si="277"/>
        <v>94.478661333333335</v>
      </c>
      <c r="AL335" s="1146">
        <f t="shared" si="278"/>
        <v>0</v>
      </c>
    </row>
    <row r="336" spans="1:38" ht="18.75">
      <c r="A336" s="1126"/>
      <c r="B336" s="1127"/>
      <c r="C336" s="1128"/>
      <c r="D336" s="1127"/>
      <c r="E336" s="1127"/>
      <c r="F336" s="1129"/>
      <c r="G336" s="1129"/>
      <c r="H336" s="1129"/>
      <c r="I336" s="1130"/>
      <c r="J336" s="1131"/>
      <c r="K336" s="1132"/>
      <c r="L336" s="1133">
        <f>I336*(F336*G336*H336)</f>
        <v>0</v>
      </c>
      <c r="M336" s="1127" t="s">
        <v>1288</v>
      </c>
      <c r="N336" s="1134"/>
      <c r="O336" s="1094"/>
      <c r="P336" s="1135"/>
      <c r="Q336" s="1136"/>
      <c r="R336" s="1137"/>
      <c r="S336" s="1138"/>
      <c r="T336" s="1139"/>
      <c r="U336" s="1131"/>
      <c r="V336" s="1139"/>
      <c r="W336" s="1140"/>
      <c r="X336" s="1122"/>
      <c r="Y336" s="1141" t="s">
        <v>1289</v>
      </c>
      <c r="Z336" s="1142">
        <v>13</v>
      </c>
      <c r="AA336" s="1137">
        <v>0.15</v>
      </c>
      <c r="AB336" s="1138">
        <f>($G$19)/AA336+1</f>
        <v>2</v>
      </c>
      <c r="AC336" s="1139">
        <v>2.11</v>
      </c>
      <c r="AD336" s="1131">
        <v>2</v>
      </c>
      <c r="AE336" s="1139">
        <f>6*Z336/1000</f>
        <v>7.8E-2</v>
      </c>
      <c r="AF336" s="1131">
        <v>2</v>
      </c>
      <c r="AG336" s="1143">
        <f t="shared" si="275"/>
        <v>1.04</v>
      </c>
      <c r="AH336" s="1140">
        <v>1</v>
      </c>
      <c r="AI336" s="1122">
        <f t="shared" si="279"/>
        <v>69.536000000000001</v>
      </c>
      <c r="AJ336" s="1144">
        <f t="shared" si="276"/>
        <v>0</v>
      </c>
      <c r="AK336" s="1145">
        <f t="shared" si="277"/>
        <v>72.468101333333337</v>
      </c>
      <c r="AL336" s="1146">
        <f t="shared" si="278"/>
        <v>0</v>
      </c>
    </row>
    <row r="337" spans="1:38" ht="18.75">
      <c r="A337" s="1126"/>
      <c r="B337" s="1127"/>
      <c r="C337" s="1128"/>
      <c r="D337" s="1127"/>
      <c r="E337" s="1127"/>
      <c r="F337" s="1129"/>
      <c r="G337" s="1129"/>
      <c r="H337" s="1129"/>
      <c r="I337" s="1130"/>
      <c r="J337" s="1131"/>
      <c r="K337" s="1132"/>
      <c r="L337" s="1133"/>
      <c r="M337" s="1127" t="s">
        <v>1290</v>
      </c>
      <c r="N337" s="1134"/>
      <c r="O337" s="1094"/>
      <c r="P337" s="1135"/>
      <c r="Q337" s="1136"/>
      <c r="R337" s="1137"/>
      <c r="S337" s="1138"/>
      <c r="T337" s="1139"/>
      <c r="U337" s="1131"/>
      <c r="V337" s="1139"/>
      <c r="W337" s="1140"/>
      <c r="X337" s="1145"/>
      <c r="Y337" s="1184" t="s">
        <v>1294</v>
      </c>
      <c r="Z337" s="1137">
        <v>13</v>
      </c>
      <c r="AA337" s="1137">
        <v>0.15</v>
      </c>
      <c r="AB337" s="1138">
        <f>($G$19)/AA337+1</f>
        <v>2</v>
      </c>
      <c r="AC337" s="1139">
        <v>0.71</v>
      </c>
      <c r="AD337" s="1131">
        <v>2</v>
      </c>
      <c r="AE337" s="1139">
        <f t="shared" ref="AE337:AE338" si="280">6*Z337/1000</f>
        <v>7.8E-2</v>
      </c>
      <c r="AF337" s="1131">
        <v>2</v>
      </c>
      <c r="AG337" s="1143">
        <f t="shared" si="275"/>
        <v>1.04</v>
      </c>
      <c r="AH337" s="1140">
        <v>2</v>
      </c>
      <c r="AI337" s="1122">
        <f>$J$11*((((AC337)+(AE337*AD337)+(AG337*AF337))*AH337)*AB337)</f>
        <v>94.272000000000006</v>
      </c>
      <c r="AJ337" s="1144">
        <f t="shared" si="276"/>
        <v>0</v>
      </c>
      <c r="AK337" s="1145">
        <f t="shared" si="277"/>
        <v>98.247136000000012</v>
      </c>
      <c r="AL337" s="1146">
        <f t="shared" si="278"/>
        <v>0</v>
      </c>
    </row>
    <row r="338" spans="1:38" ht="18.75">
      <c r="A338" s="1126"/>
      <c r="B338" s="1127"/>
      <c r="C338" s="1128"/>
      <c r="D338" s="1127"/>
      <c r="E338" s="1127"/>
      <c r="F338" s="1129"/>
      <c r="G338" s="1129"/>
      <c r="H338" s="1129"/>
      <c r="I338" s="1130"/>
      <c r="J338" s="1131"/>
      <c r="K338" s="1132"/>
      <c r="L338" s="1133"/>
      <c r="M338" s="1127" t="s">
        <v>1292</v>
      </c>
      <c r="N338" s="1134">
        <f>I335*(F335*H335)</f>
        <v>4.08</v>
      </c>
      <c r="O338" s="1094"/>
      <c r="P338" s="1135"/>
      <c r="Q338" s="1136"/>
      <c r="R338" s="1137"/>
      <c r="S338" s="1138"/>
      <c r="T338" s="1139"/>
      <c r="U338" s="1131"/>
      <c r="V338" s="1139"/>
      <c r="W338" s="1140"/>
      <c r="X338" s="1122"/>
      <c r="Y338" s="1141" t="s">
        <v>1291</v>
      </c>
      <c r="Z338" s="1142">
        <v>8</v>
      </c>
      <c r="AA338" s="1137">
        <v>0.15</v>
      </c>
      <c r="AB338" s="1138">
        <f>(H335)/AA338+1</f>
        <v>19.133333333333336</v>
      </c>
      <c r="AC338" s="1139">
        <f>(F335+0.3)-0.06</f>
        <v>1.74</v>
      </c>
      <c r="AD338" s="1131">
        <v>2</v>
      </c>
      <c r="AE338" s="1139">
        <f t="shared" si="280"/>
        <v>4.8000000000000001E-2</v>
      </c>
      <c r="AF338" s="1131">
        <v>0</v>
      </c>
      <c r="AG338" s="1143">
        <f t="shared" si="275"/>
        <v>0</v>
      </c>
      <c r="AH338" s="1140">
        <v>2</v>
      </c>
      <c r="AI338" s="1122">
        <f>$J$11*((((AC338)+(AE338*AD338)+(AG338*AF338))*AH338)*AB338)</f>
        <v>562.06080000000009</v>
      </c>
      <c r="AJ338" s="1144">
        <f t="shared" si="276"/>
        <v>0</v>
      </c>
      <c r="AK338" s="1145">
        <f t="shared" si="277"/>
        <v>0</v>
      </c>
      <c r="AL338" s="1146">
        <f t="shared" si="278"/>
        <v>0</v>
      </c>
    </row>
    <row r="339" spans="1:38" ht="19.5" thickBot="1">
      <c r="A339" s="1126"/>
      <c r="B339" s="1127"/>
      <c r="C339" s="1128"/>
      <c r="D339" s="1127"/>
      <c r="E339" s="1127"/>
      <c r="F339" s="1129"/>
      <c r="G339" s="1129"/>
      <c r="H339" s="1129"/>
      <c r="I339" s="1130"/>
      <c r="J339" s="1131"/>
      <c r="K339" s="1132"/>
      <c r="L339" s="1133"/>
      <c r="M339" s="1127"/>
      <c r="N339" s="1134"/>
      <c r="O339" s="1094"/>
      <c r="P339" s="1135"/>
      <c r="Q339" s="1136"/>
      <c r="R339" s="1137"/>
      <c r="S339" s="1138"/>
      <c r="T339" s="1139"/>
      <c r="U339" s="1131"/>
      <c r="V339" s="1139"/>
      <c r="W339" s="1140"/>
      <c r="X339" s="1122"/>
      <c r="Y339" s="1141"/>
      <c r="Z339" s="1142"/>
      <c r="AA339" s="1137"/>
      <c r="AB339" s="1138"/>
      <c r="AC339" s="1139"/>
      <c r="AD339" s="1131"/>
      <c r="AE339" s="1139"/>
      <c r="AF339" s="1131"/>
      <c r="AG339" s="1139"/>
      <c r="AH339" s="1140"/>
      <c r="AI339" s="1122"/>
      <c r="AJ339" s="1144">
        <f t="shared" si="276"/>
        <v>0</v>
      </c>
      <c r="AK339" s="1145">
        <f t="shared" si="277"/>
        <v>0</v>
      </c>
      <c r="AL339" s="1146">
        <f t="shared" si="278"/>
        <v>0</v>
      </c>
    </row>
    <row r="340" spans="1:38" ht="20.25" thickTop="1" thickBot="1">
      <c r="A340" s="1188"/>
      <c r="B340" s="1189"/>
      <c r="C340" s="1190"/>
      <c r="D340" s="1189"/>
      <c r="E340" s="1191" t="s">
        <v>468</v>
      </c>
      <c r="F340" s="1192"/>
      <c r="G340" s="1192"/>
      <c r="H340" s="1192"/>
      <c r="I340" s="1192"/>
      <c r="J340" s="1192"/>
      <c r="K340" s="1193"/>
      <c r="L340" s="1194">
        <f>SUM(L319:L339)</f>
        <v>3.5158499999999995</v>
      </c>
      <c r="M340" s="1189"/>
      <c r="N340" s="1194">
        <f>SUM(N319:N339)</f>
        <v>23.439</v>
      </c>
      <c r="O340" s="1195"/>
      <c r="P340" s="1196"/>
      <c r="Q340" s="1188"/>
      <c r="R340" s="1197"/>
      <c r="S340" s="1198"/>
      <c r="T340" s="1199"/>
      <c r="U340" s="1200"/>
      <c r="V340" s="1199"/>
      <c r="W340" s="1201"/>
      <c r="X340" s="1202"/>
      <c r="Y340" s="1203"/>
      <c r="Z340" s="1204"/>
      <c r="AA340" s="1197"/>
      <c r="AB340" s="1198"/>
      <c r="AC340" s="1199"/>
      <c r="AD340" s="1200"/>
      <c r="AE340" s="1199"/>
      <c r="AF340" s="1200"/>
      <c r="AG340" s="1199"/>
      <c r="AH340" s="1201"/>
      <c r="AI340" s="1202"/>
      <c r="AJ340" s="1205">
        <f>SUM(AJ319:AJ339)</f>
        <v>0</v>
      </c>
      <c r="AK340" s="1205">
        <f t="shared" ref="AK340:AL340" si="281">SUM(AK319:AK339)</f>
        <v>1195.4068533333334</v>
      </c>
      <c r="AL340" s="1206">
        <f t="shared" si="281"/>
        <v>0</v>
      </c>
    </row>
    <row r="341" spans="1:38" ht="19.5" thickTop="1">
      <c r="A341" s="1104">
        <v>1</v>
      </c>
      <c r="B341" s="1105" t="s">
        <v>1277</v>
      </c>
      <c r="C341" s="1106" t="s">
        <v>1303</v>
      </c>
      <c r="D341" s="1105">
        <v>1</v>
      </c>
      <c r="E341" s="1105" t="s">
        <v>1279</v>
      </c>
      <c r="F341" s="1107">
        <v>0.3</v>
      </c>
      <c r="G341" s="1107">
        <v>0.16</v>
      </c>
      <c r="H341" s="1107">
        <v>1.5</v>
      </c>
      <c r="I341" s="1108">
        <v>1</v>
      </c>
      <c r="J341" s="1109">
        <v>8</v>
      </c>
      <c r="K341" s="1110"/>
      <c r="L341" s="1111">
        <f>I341*(((F341*G341*H341)/2)*J341)</f>
        <v>0.28800000000000003</v>
      </c>
      <c r="M341" s="1105" t="s">
        <v>1280</v>
      </c>
      <c r="N341" s="1112">
        <f>I341*(G341*H341*J341)</f>
        <v>1.92</v>
      </c>
      <c r="O341" s="1113"/>
      <c r="P341" s="1182" t="s">
        <v>1281</v>
      </c>
      <c r="Q341" s="1136">
        <v>8</v>
      </c>
      <c r="R341" s="1137"/>
      <c r="S341" s="1138">
        <v>1</v>
      </c>
      <c r="T341" s="1139">
        <f>(H341+0.4)-0.06</f>
        <v>1.8399999999999999</v>
      </c>
      <c r="U341" s="1131">
        <v>2</v>
      </c>
      <c r="V341" s="1139">
        <f>6*Q341/1000</f>
        <v>4.8000000000000001E-2</v>
      </c>
      <c r="W341" s="1140">
        <v>8</v>
      </c>
      <c r="X341" s="1122">
        <f>I341*((((T341)+(V341*U341)*S341)*W341))</f>
        <v>15.488</v>
      </c>
      <c r="Y341" s="1183" t="s">
        <v>1282</v>
      </c>
      <c r="Z341" s="1142">
        <v>13</v>
      </c>
      <c r="AA341" s="1137">
        <v>0.15</v>
      </c>
      <c r="AB341" s="1138">
        <f>($G$19)/AA341+1</f>
        <v>2</v>
      </c>
      <c r="AC341" s="1139">
        <v>3.77</v>
      </c>
      <c r="AD341" s="1131">
        <v>2</v>
      </c>
      <c r="AE341" s="1139">
        <f>6*Z341/1000</f>
        <v>7.8E-2</v>
      </c>
      <c r="AF341" s="1131">
        <v>2</v>
      </c>
      <c r="AG341" s="1143">
        <f t="shared" ref="AG341:AG345" si="282">(40*Z341/1000)*AF341</f>
        <v>1.04</v>
      </c>
      <c r="AH341" s="1140">
        <v>1</v>
      </c>
      <c r="AI341" s="1122">
        <f>$J$11*((((AC341)+(AE341*AD341)+(AG341*AF341))*AH341)*AB341)</f>
        <v>96.096000000000004</v>
      </c>
      <c r="AJ341" s="1123">
        <f t="shared" ref="AJ341:AJ346" si="283">((IF(Q341=$AK$7,X341,0)+(IF(Z341=$AK$7,AI341,0))))*$AK$9</f>
        <v>0</v>
      </c>
      <c r="AK341" s="1124">
        <f t="shared" ref="AK341:AK346" si="284">((IF(Q341=$AL$7,X341,0)+(IF(Z341=$AL$7,AI341,0))))*$AL$9</f>
        <v>100.148048</v>
      </c>
      <c r="AL341" s="1125">
        <f>((IF(Q341=$AM$7,X341,0)+(IF(Z341=$AM$7,AI341,0))))*$AM$9</f>
        <v>0</v>
      </c>
    </row>
    <row r="342" spans="1:38" ht="18.75">
      <c r="A342" s="1126"/>
      <c r="B342" s="1127"/>
      <c r="C342" s="1128"/>
      <c r="D342" s="1127"/>
      <c r="E342" s="1127" t="s">
        <v>1283</v>
      </c>
      <c r="F342" s="1129">
        <v>1.5</v>
      </c>
      <c r="G342" s="1129">
        <v>0.15</v>
      </c>
      <c r="H342" s="1129">
        <v>2.4</v>
      </c>
      <c r="I342" s="1130">
        <v>1</v>
      </c>
      <c r="J342" s="1131"/>
      <c r="K342" s="1132"/>
      <c r="L342" s="1133">
        <f>I342*(F342*G342*H342)</f>
        <v>0.53999999999999992</v>
      </c>
      <c r="M342" s="1127" t="s">
        <v>1284</v>
      </c>
      <c r="N342" s="1134"/>
      <c r="O342" s="1094"/>
      <c r="P342" s="1135" t="s">
        <v>1285</v>
      </c>
      <c r="Q342" s="1136">
        <v>8</v>
      </c>
      <c r="R342" s="1137">
        <v>0.2</v>
      </c>
      <c r="S342" s="1138">
        <f>(H341/R342+1)</f>
        <v>8.5</v>
      </c>
      <c r="T342" s="1139">
        <f>(F341+G341+0.3)-(0.03*2)</f>
        <v>0.7</v>
      </c>
      <c r="U342" s="1131">
        <v>2</v>
      </c>
      <c r="V342" s="1139">
        <f>6*Q342/1000</f>
        <v>4.8000000000000001E-2</v>
      </c>
      <c r="W342" s="1140">
        <v>8</v>
      </c>
      <c r="X342" s="1122">
        <f>I341*(((((T342)+(V342*U342))*S342)*W342))</f>
        <v>54.127999999999993</v>
      </c>
      <c r="Y342" s="1141" t="s">
        <v>1286</v>
      </c>
      <c r="Z342" s="1142">
        <v>13</v>
      </c>
      <c r="AA342" s="1137">
        <v>0.15</v>
      </c>
      <c r="AB342" s="1138">
        <f>($G$19)/AA342+1</f>
        <v>2</v>
      </c>
      <c r="AC342" s="1139">
        <v>4.12</v>
      </c>
      <c r="AD342" s="1131">
        <v>2</v>
      </c>
      <c r="AE342" s="1139">
        <f>6*Z342/1000</f>
        <v>7.8E-2</v>
      </c>
      <c r="AF342" s="1131">
        <v>2</v>
      </c>
      <c r="AG342" s="1143">
        <f t="shared" si="282"/>
        <v>1.04</v>
      </c>
      <c r="AH342" s="1140">
        <v>1</v>
      </c>
      <c r="AI342" s="1122">
        <f t="shared" ref="AI342:AI343" si="285">$J$11*((((AC342)+(AE342*AD342)+(AG342*AF342))*AH342)*AB342)</f>
        <v>101.696</v>
      </c>
      <c r="AJ342" s="1144">
        <f t="shared" si="283"/>
        <v>0</v>
      </c>
      <c r="AK342" s="1145">
        <f t="shared" si="284"/>
        <v>105.98418133333334</v>
      </c>
      <c r="AL342" s="1146">
        <f t="shared" ref="AL342:AL353" si="286">((IF(Q342=$AM$7,X342,0)+(IF(Z342=$AM$7,AI342,0))))*$AM$9</f>
        <v>0</v>
      </c>
    </row>
    <row r="343" spans="1:38" ht="18.75">
      <c r="A343" s="1126"/>
      <c r="B343" s="1127"/>
      <c r="C343" s="1128"/>
      <c r="D343" s="1127"/>
      <c r="E343" s="1127" t="s">
        <v>1287</v>
      </c>
      <c r="F343" s="1129">
        <v>1.5</v>
      </c>
      <c r="G343" s="1129">
        <v>0.15</v>
      </c>
      <c r="H343" s="1129">
        <v>1.54</v>
      </c>
      <c r="I343" s="1130">
        <v>1</v>
      </c>
      <c r="J343" s="1131"/>
      <c r="K343" s="1132"/>
      <c r="L343" s="1133">
        <f>I343*(F343*G343*H343)</f>
        <v>0.34649999999999997</v>
      </c>
      <c r="M343" s="1127" t="s">
        <v>1288</v>
      </c>
      <c r="N343" s="1134"/>
      <c r="O343" s="1094"/>
      <c r="P343" s="1135"/>
      <c r="Q343" s="1136"/>
      <c r="R343" s="1137"/>
      <c r="S343" s="1138"/>
      <c r="T343" s="1139"/>
      <c r="U343" s="1131"/>
      <c r="V343" s="1139"/>
      <c r="W343" s="1140"/>
      <c r="X343" s="1122"/>
      <c r="Y343" s="1141" t="s">
        <v>1289</v>
      </c>
      <c r="Z343" s="1142">
        <v>13</v>
      </c>
      <c r="AA343" s="1137">
        <v>0.15</v>
      </c>
      <c r="AB343" s="1138">
        <f>($G$19)/AA343+1</f>
        <v>2</v>
      </c>
      <c r="AC343" s="1139">
        <v>1.37</v>
      </c>
      <c r="AD343" s="1131">
        <v>2</v>
      </c>
      <c r="AE343" s="1139">
        <f>6*Z343/1000</f>
        <v>7.8E-2</v>
      </c>
      <c r="AF343" s="1131">
        <v>2</v>
      </c>
      <c r="AG343" s="1143">
        <f t="shared" si="282"/>
        <v>1.04</v>
      </c>
      <c r="AH343" s="1140">
        <v>1</v>
      </c>
      <c r="AI343" s="1122">
        <f t="shared" si="285"/>
        <v>57.695999999999998</v>
      </c>
      <c r="AJ343" s="1144">
        <f t="shared" si="283"/>
        <v>0</v>
      </c>
      <c r="AK343" s="1145">
        <f t="shared" si="284"/>
        <v>60.128847999999998</v>
      </c>
      <c r="AL343" s="1146">
        <f t="shared" si="286"/>
        <v>0</v>
      </c>
    </row>
    <row r="344" spans="1:38" ht="18.75">
      <c r="A344" s="1126"/>
      <c r="B344" s="1127"/>
      <c r="C344" s="1128"/>
      <c r="D344" s="1127"/>
      <c r="E344" s="1127"/>
      <c r="F344" s="1129"/>
      <c r="G344" s="1129"/>
      <c r="H344" s="1129"/>
      <c r="I344" s="1130"/>
      <c r="J344" s="1131"/>
      <c r="K344" s="1132"/>
      <c r="L344" s="1133"/>
      <c r="M344" s="1127" t="s">
        <v>1290</v>
      </c>
      <c r="N344" s="1134"/>
      <c r="O344" s="1094"/>
      <c r="P344" s="1135"/>
      <c r="Q344" s="1136"/>
      <c r="R344" s="1137"/>
      <c r="S344" s="1138"/>
      <c r="T344" s="1139"/>
      <c r="U344" s="1131"/>
      <c r="V344" s="1139"/>
      <c r="W344" s="1140"/>
      <c r="X344" s="1145"/>
      <c r="Y344" s="1184" t="s">
        <v>1294</v>
      </c>
      <c r="Z344" s="1137">
        <v>13</v>
      </c>
      <c r="AA344" s="1137">
        <v>0.15</v>
      </c>
      <c r="AB344" s="1138">
        <f>($G$19)/AA344+1</f>
        <v>2</v>
      </c>
      <c r="AC344" s="1139">
        <v>1.74</v>
      </c>
      <c r="AD344" s="1131">
        <v>2</v>
      </c>
      <c r="AE344" s="1139">
        <f t="shared" ref="AE344:AE345" si="287">6*Z344/1000</f>
        <v>7.8E-2</v>
      </c>
      <c r="AF344" s="1131">
        <v>2</v>
      </c>
      <c r="AG344" s="1143">
        <f t="shared" si="282"/>
        <v>1.04</v>
      </c>
      <c r="AH344" s="1140">
        <v>2</v>
      </c>
      <c r="AI344" s="1122">
        <f>$J$11*((((AC344)+(AE344*AD344)+(AG344*AF344))*AH344)*AB344)</f>
        <v>127.232</v>
      </c>
      <c r="AJ344" s="1144">
        <f t="shared" si="283"/>
        <v>0</v>
      </c>
      <c r="AK344" s="1145">
        <f t="shared" si="284"/>
        <v>132.59694933333333</v>
      </c>
      <c r="AL344" s="1146">
        <f t="shared" si="286"/>
        <v>0</v>
      </c>
    </row>
    <row r="345" spans="1:38" ht="18.75">
      <c r="A345" s="1126"/>
      <c r="B345" s="1127"/>
      <c r="C345" s="1128"/>
      <c r="D345" s="1127"/>
      <c r="E345" s="1127"/>
      <c r="F345" s="1129"/>
      <c r="G345" s="1129"/>
      <c r="H345" s="1129"/>
      <c r="I345" s="1130"/>
      <c r="J345" s="1131"/>
      <c r="K345" s="1132"/>
      <c r="L345" s="1133"/>
      <c r="M345" s="1127" t="s">
        <v>1292</v>
      </c>
      <c r="N345" s="1134">
        <f>I342*(F342*H342)</f>
        <v>3.5999999999999996</v>
      </c>
      <c r="O345" s="1094"/>
      <c r="P345" s="1135"/>
      <c r="Q345" s="1136"/>
      <c r="R345" s="1137"/>
      <c r="S345" s="1138"/>
      <c r="T345" s="1139"/>
      <c r="U345" s="1131"/>
      <c r="V345" s="1139"/>
      <c r="W345" s="1140"/>
      <c r="X345" s="1122"/>
      <c r="Y345" s="1141" t="s">
        <v>1291</v>
      </c>
      <c r="Z345" s="1142">
        <v>8</v>
      </c>
      <c r="AA345" s="1137">
        <v>0.15</v>
      </c>
      <c r="AB345" s="1138">
        <f>(H342)/AA345+1</f>
        <v>17</v>
      </c>
      <c r="AC345" s="1139">
        <f>(F342+0.3)-0.06</f>
        <v>1.74</v>
      </c>
      <c r="AD345" s="1131">
        <v>2</v>
      </c>
      <c r="AE345" s="1139">
        <f t="shared" si="287"/>
        <v>4.8000000000000001E-2</v>
      </c>
      <c r="AF345" s="1131">
        <v>0</v>
      </c>
      <c r="AG345" s="1143">
        <f t="shared" si="282"/>
        <v>0</v>
      </c>
      <c r="AH345" s="1140">
        <v>2</v>
      </c>
      <c r="AI345" s="1122">
        <f>$J$11*((((AC345)+(AE345*AD345)+(AG345*AF345))*AH345)*AB345)</f>
        <v>499.392</v>
      </c>
      <c r="AJ345" s="1144">
        <f t="shared" si="283"/>
        <v>0</v>
      </c>
      <c r="AK345" s="1145">
        <f t="shared" si="284"/>
        <v>0</v>
      </c>
      <c r="AL345" s="1146">
        <f t="shared" si="286"/>
        <v>0</v>
      </c>
    </row>
    <row r="346" spans="1:38" ht="18.75">
      <c r="A346" s="1147"/>
      <c r="B346" s="1148"/>
      <c r="C346" s="1149"/>
      <c r="D346" s="1148"/>
      <c r="E346" s="1148"/>
      <c r="F346" s="1150"/>
      <c r="G346" s="1150"/>
      <c r="H346" s="1150"/>
      <c r="I346" s="1151"/>
      <c r="J346" s="1152"/>
      <c r="K346" s="1153"/>
      <c r="L346" s="1154"/>
      <c r="M346" s="1148" t="s">
        <v>1293</v>
      </c>
      <c r="N346" s="1155">
        <f>I343*(F343*H343)</f>
        <v>2.31</v>
      </c>
      <c r="O346" s="1094"/>
      <c r="P346" s="1156"/>
      <c r="Q346" s="1157"/>
      <c r="R346" s="1158"/>
      <c r="S346" s="1159"/>
      <c r="T346" s="1160"/>
      <c r="U346" s="1152"/>
      <c r="V346" s="1160"/>
      <c r="W346" s="1161"/>
      <c r="X346" s="1162"/>
      <c r="Y346" s="1163"/>
      <c r="Z346" s="1164"/>
      <c r="AA346" s="1158"/>
      <c r="AB346" s="1159"/>
      <c r="AC346" s="1160"/>
      <c r="AD346" s="1152"/>
      <c r="AE346" s="1160"/>
      <c r="AF346" s="1152"/>
      <c r="AG346" s="1160"/>
      <c r="AH346" s="1161"/>
      <c r="AI346" s="1162"/>
      <c r="AJ346" s="1102">
        <f t="shared" si="283"/>
        <v>0</v>
      </c>
      <c r="AK346" s="1165">
        <f t="shared" si="284"/>
        <v>0</v>
      </c>
      <c r="AL346" s="1146">
        <f t="shared" si="286"/>
        <v>0</v>
      </c>
    </row>
    <row r="347" spans="1:38" ht="18.75">
      <c r="A347" s="1126"/>
      <c r="B347" s="1166"/>
      <c r="C347" s="1167"/>
      <c r="D347" s="1166"/>
      <c r="E347" s="1166"/>
      <c r="F347" s="1168"/>
      <c r="G347" s="1168"/>
      <c r="H347" s="1168"/>
      <c r="I347" s="1130"/>
      <c r="J347" s="1169"/>
      <c r="K347" s="1170"/>
      <c r="L347" s="1171"/>
      <c r="M347" s="1166"/>
      <c r="N347" s="1172"/>
      <c r="O347" s="1173"/>
      <c r="P347" s="1135"/>
      <c r="Q347" s="1126"/>
      <c r="R347" s="1174"/>
      <c r="S347" s="1175"/>
      <c r="T347" s="1143"/>
      <c r="U347" s="1169"/>
      <c r="V347" s="1143"/>
      <c r="W347" s="1176"/>
      <c r="X347" s="1177"/>
      <c r="Y347" s="1141"/>
      <c r="Z347" s="1178"/>
      <c r="AA347" s="1174"/>
      <c r="AB347" s="1175"/>
      <c r="AC347" s="1143"/>
      <c r="AD347" s="1169"/>
      <c r="AE347" s="1143"/>
      <c r="AF347" s="1169"/>
      <c r="AG347" s="1143"/>
      <c r="AH347" s="1176"/>
      <c r="AI347" s="1177"/>
      <c r="AJ347" s="1179"/>
      <c r="AK347" s="1180"/>
      <c r="AL347" s="1146">
        <f t="shared" si="286"/>
        <v>0</v>
      </c>
    </row>
    <row r="348" spans="1:38" ht="18.75">
      <c r="A348" s="1136"/>
      <c r="B348" s="1127"/>
      <c r="C348" s="1128"/>
      <c r="D348" s="1127">
        <v>2</v>
      </c>
      <c r="E348" s="1127" t="s">
        <v>1279</v>
      </c>
      <c r="F348" s="1129">
        <v>0.3</v>
      </c>
      <c r="G348" s="1129">
        <v>0.16</v>
      </c>
      <c r="H348" s="1129">
        <v>1.5</v>
      </c>
      <c r="I348" s="1181">
        <v>1</v>
      </c>
      <c r="J348" s="1131">
        <v>7</v>
      </c>
      <c r="K348" s="1132"/>
      <c r="L348" s="1133">
        <f>I348*(((F348*G348*H348)/2)*J348)</f>
        <v>0.252</v>
      </c>
      <c r="M348" s="1127" t="s">
        <v>1280</v>
      </c>
      <c r="N348" s="1134">
        <f>I348*(G348*H348*J348)</f>
        <v>1.68</v>
      </c>
      <c r="O348" s="1094"/>
      <c r="P348" s="1182" t="s">
        <v>1281</v>
      </c>
      <c r="Q348" s="1136">
        <v>8</v>
      </c>
      <c r="R348" s="1137"/>
      <c r="S348" s="1138">
        <v>1</v>
      </c>
      <c r="T348" s="1139">
        <f>(H348+0.4)-0.06</f>
        <v>1.8399999999999999</v>
      </c>
      <c r="U348" s="1131">
        <v>2</v>
      </c>
      <c r="V348" s="1139">
        <f>6*Q348/1000</f>
        <v>4.8000000000000001E-2</v>
      </c>
      <c r="W348" s="1140">
        <v>9</v>
      </c>
      <c r="X348" s="1122">
        <f>I348*((((T348)+(V348*U348)*S348)*W348))</f>
        <v>17.423999999999999</v>
      </c>
      <c r="Y348" s="1183" t="s">
        <v>1282</v>
      </c>
      <c r="Z348" s="1142">
        <v>13</v>
      </c>
      <c r="AA348" s="1137">
        <v>0.15</v>
      </c>
      <c r="AB348" s="1138">
        <f>($G$19)/AA348+1</f>
        <v>2</v>
      </c>
      <c r="AC348" s="1139">
        <f>1.5+3.06</f>
        <v>4.5600000000000005</v>
      </c>
      <c r="AD348" s="1131">
        <v>2</v>
      </c>
      <c r="AE348" s="1139">
        <f>6*Z348/1000</f>
        <v>7.8E-2</v>
      </c>
      <c r="AF348" s="1131">
        <v>2</v>
      </c>
      <c r="AG348" s="1143">
        <f t="shared" ref="AG348:AG352" si="288">(40*Z348/1000)*AF348</f>
        <v>1.04</v>
      </c>
      <c r="AH348" s="1140">
        <v>1</v>
      </c>
      <c r="AI348" s="1122">
        <f>$J$11*((((AC348)+(AE348*AD348)+(AG348*AF348))*AH348)*AB348)</f>
        <v>108.736</v>
      </c>
      <c r="AJ348" s="1144">
        <f t="shared" ref="AJ348:AJ353" si="289">((IF(Q348=$AK$7,X348,0)+(IF(Z348=$AK$7,AI348,0))))*$AK$9</f>
        <v>0</v>
      </c>
      <c r="AK348" s="1145">
        <f t="shared" ref="AK348:AK353" si="290">((IF(Q348=$AL$7,X348,0)+(IF(Z348=$AL$7,AI348,0))))*$AL$9</f>
        <v>113.32103466666668</v>
      </c>
      <c r="AL348" s="1146">
        <f t="shared" si="286"/>
        <v>0</v>
      </c>
    </row>
    <row r="349" spans="1:38" ht="18.75">
      <c r="A349" s="1126"/>
      <c r="B349" s="1127"/>
      <c r="C349" s="1128"/>
      <c r="D349" s="1127"/>
      <c r="E349" s="1127" t="s">
        <v>1283</v>
      </c>
      <c r="F349" s="1129">
        <v>1.5</v>
      </c>
      <c r="G349" s="1129">
        <v>0.15</v>
      </c>
      <c r="H349" s="1129">
        <v>2.38</v>
      </c>
      <c r="I349" s="1130">
        <v>1</v>
      </c>
      <c r="J349" s="1131"/>
      <c r="K349" s="1132"/>
      <c r="L349" s="1133">
        <f>I349*(F349*G349*H349)</f>
        <v>0.53549999999999998</v>
      </c>
      <c r="M349" s="1127" t="s">
        <v>1284</v>
      </c>
      <c r="N349" s="1134"/>
      <c r="O349" s="1094"/>
      <c r="P349" s="1135" t="s">
        <v>1285</v>
      </c>
      <c r="Q349" s="1136">
        <v>8</v>
      </c>
      <c r="R349" s="1137">
        <v>0.2</v>
      </c>
      <c r="S349" s="1138">
        <f>(H348/R349+1)</f>
        <v>8.5</v>
      </c>
      <c r="T349" s="1139">
        <f>(F348+G348+0.3)-(0.03*2)</f>
        <v>0.7</v>
      </c>
      <c r="U349" s="1131">
        <v>2</v>
      </c>
      <c r="V349" s="1139">
        <f>6*Q349/1000</f>
        <v>4.8000000000000001E-2</v>
      </c>
      <c r="W349" s="1140">
        <v>9</v>
      </c>
      <c r="X349" s="1122">
        <f>I348*(((((T349)+(V349*U349))*S349)*W349))</f>
        <v>60.893999999999991</v>
      </c>
      <c r="Y349" s="1141" t="s">
        <v>1286</v>
      </c>
      <c r="Z349" s="1142">
        <v>13</v>
      </c>
      <c r="AA349" s="1137">
        <v>0.15</v>
      </c>
      <c r="AB349" s="1138">
        <f>($G$19)/AA349+1</f>
        <v>2</v>
      </c>
      <c r="AC349" s="1139">
        <f>1.5+3.06</f>
        <v>4.5600000000000005</v>
      </c>
      <c r="AD349" s="1131">
        <v>2</v>
      </c>
      <c r="AE349" s="1139">
        <f>6*Z349/1000</f>
        <v>7.8E-2</v>
      </c>
      <c r="AF349" s="1131">
        <v>2</v>
      </c>
      <c r="AG349" s="1143">
        <f t="shared" si="288"/>
        <v>1.04</v>
      </c>
      <c r="AH349" s="1140">
        <v>1</v>
      </c>
      <c r="AI349" s="1122">
        <f t="shared" ref="AI349:AI350" si="291">$J$11*((((AC349)+(AE349*AD349)+(AG349*AF349))*AH349)*AB349)</f>
        <v>108.736</v>
      </c>
      <c r="AJ349" s="1144">
        <f t="shared" si="289"/>
        <v>0</v>
      </c>
      <c r="AK349" s="1145">
        <f t="shared" si="290"/>
        <v>113.32103466666668</v>
      </c>
      <c r="AL349" s="1146">
        <f t="shared" si="286"/>
        <v>0</v>
      </c>
    </row>
    <row r="350" spans="1:38" ht="18.75">
      <c r="A350" s="1126"/>
      <c r="B350" s="1127"/>
      <c r="C350" s="1128"/>
      <c r="D350" s="1127"/>
      <c r="E350" s="1127" t="s">
        <v>1287</v>
      </c>
      <c r="F350" s="1129">
        <v>1.5</v>
      </c>
      <c r="G350" s="1129">
        <v>0.15</v>
      </c>
      <c r="H350" s="1129">
        <v>2.11</v>
      </c>
      <c r="I350" s="1130">
        <v>1</v>
      </c>
      <c r="J350" s="1131"/>
      <c r="K350" s="1132"/>
      <c r="L350" s="1133">
        <f>I350*(F350*G350*H350)</f>
        <v>0.47474999999999995</v>
      </c>
      <c r="M350" s="1127" t="s">
        <v>1288</v>
      </c>
      <c r="N350" s="1134"/>
      <c r="O350" s="1094"/>
      <c r="P350" s="1135"/>
      <c r="Q350" s="1136"/>
      <c r="R350" s="1137"/>
      <c r="S350" s="1138"/>
      <c r="T350" s="1139"/>
      <c r="U350" s="1131"/>
      <c r="V350" s="1139"/>
      <c r="W350" s="1140"/>
      <c r="X350" s="1122"/>
      <c r="Y350" s="1141" t="s">
        <v>1289</v>
      </c>
      <c r="Z350" s="1142">
        <v>13</v>
      </c>
      <c r="AA350" s="1137">
        <v>0.15</v>
      </c>
      <c r="AB350" s="1138">
        <f>($G$19)/AA350+1</f>
        <v>2</v>
      </c>
      <c r="AC350" s="1139">
        <v>1.5</v>
      </c>
      <c r="AD350" s="1131">
        <v>2</v>
      </c>
      <c r="AE350" s="1139">
        <f>6*Z350/1000</f>
        <v>7.8E-2</v>
      </c>
      <c r="AF350" s="1131">
        <v>2</v>
      </c>
      <c r="AG350" s="1143">
        <f t="shared" si="288"/>
        <v>1.04</v>
      </c>
      <c r="AH350" s="1140">
        <v>1</v>
      </c>
      <c r="AI350" s="1122">
        <f t="shared" si="291"/>
        <v>59.775999999999996</v>
      </c>
      <c r="AJ350" s="1144">
        <f t="shared" si="289"/>
        <v>0</v>
      </c>
      <c r="AK350" s="1145">
        <f t="shared" si="290"/>
        <v>62.296554666666665</v>
      </c>
      <c r="AL350" s="1146">
        <f t="shared" si="286"/>
        <v>0</v>
      </c>
    </row>
    <row r="351" spans="1:38" ht="18.75">
      <c r="A351" s="1126"/>
      <c r="B351" s="1127"/>
      <c r="C351" s="1128"/>
      <c r="D351" s="1127"/>
      <c r="E351" s="1127"/>
      <c r="F351" s="1129"/>
      <c r="G351" s="1129"/>
      <c r="H351" s="1129"/>
      <c r="I351" s="1130"/>
      <c r="J351" s="1131"/>
      <c r="K351" s="1132"/>
      <c r="L351" s="1133"/>
      <c r="M351" s="1127" t="s">
        <v>1290</v>
      </c>
      <c r="N351" s="1134"/>
      <c r="O351" s="1094"/>
      <c r="P351" s="1135"/>
      <c r="Q351" s="1136"/>
      <c r="R351" s="1137"/>
      <c r="S351" s="1138"/>
      <c r="T351" s="1139"/>
      <c r="U351" s="1131"/>
      <c r="V351" s="1139"/>
      <c r="W351" s="1140"/>
      <c r="X351" s="1145"/>
      <c r="Y351" s="1184" t="s">
        <v>1294</v>
      </c>
      <c r="Z351" s="1137">
        <v>13</v>
      </c>
      <c r="AA351" s="1137">
        <v>0.15</v>
      </c>
      <c r="AB351" s="1138">
        <f>($G$19)/AA351+1</f>
        <v>2</v>
      </c>
      <c r="AC351" s="1139">
        <v>1.5</v>
      </c>
      <c r="AD351" s="1131">
        <v>2</v>
      </c>
      <c r="AE351" s="1139">
        <f t="shared" ref="AE351:AE352" si="292">6*Z351/1000</f>
        <v>7.8E-2</v>
      </c>
      <c r="AF351" s="1131">
        <v>2</v>
      </c>
      <c r="AG351" s="1143">
        <f t="shared" si="288"/>
        <v>1.04</v>
      </c>
      <c r="AH351" s="1140">
        <v>2</v>
      </c>
      <c r="AI351" s="1122">
        <f>$J$11*((((AC351)+(AE351*AD351)+(AG351*AF351))*AH351)*AB351)</f>
        <v>119.55199999999999</v>
      </c>
      <c r="AJ351" s="1144">
        <f t="shared" si="289"/>
        <v>0</v>
      </c>
      <c r="AK351" s="1145">
        <f t="shared" si="290"/>
        <v>124.59310933333333</v>
      </c>
      <c r="AL351" s="1146">
        <f t="shared" si="286"/>
        <v>0</v>
      </c>
    </row>
    <row r="352" spans="1:38" ht="18.75">
      <c r="A352" s="1126"/>
      <c r="B352" s="1127"/>
      <c r="C352" s="1128"/>
      <c r="D352" s="1127"/>
      <c r="E352" s="1127"/>
      <c r="F352" s="1129"/>
      <c r="G352" s="1129"/>
      <c r="H352" s="1129"/>
      <c r="I352" s="1130"/>
      <c r="J352" s="1131"/>
      <c r="K352" s="1132"/>
      <c r="L352" s="1133"/>
      <c r="M352" s="1127" t="s">
        <v>1292</v>
      </c>
      <c r="N352" s="1134">
        <f>I349*(F349*H349)</f>
        <v>3.57</v>
      </c>
      <c r="O352" s="1094"/>
      <c r="P352" s="1135"/>
      <c r="Q352" s="1136"/>
      <c r="R352" s="1137"/>
      <c r="S352" s="1138"/>
      <c r="T352" s="1139"/>
      <c r="U352" s="1131"/>
      <c r="V352" s="1139"/>
      <c r="W352" s="1140"/>
      <c r="X352" s="1122"/>
      <c r="Y352" s="1141" t="s">
        <v>1291</v>
      </c>
      <c r="Z352" s="1142">
        <v>8</v>
      </c>
      <c r="AA352" s="1137">
        <v>0.15</v>
      </c>
      <c r="AB352" s="1138">
        <f>(H349)/AA352+1</f>
        <v>16.866666666666667</v>
      </c>
      <c r="AC352" s="1139">
        <f>(F349+0.3)-0.06</f>
        <v>1.74</v>
      </c>
      <c r="AD352" s="1131">
        <v>2</v>
      </c>
      <c r="AE352" s="1139">
        <f t="shared" si="292"/>
        <v>4.8000000000000001E-2</v>
      </c>
      <c r="AF352" s="1131">
        <v>0</v>
      </c>
      <c r="AG352" s="1143">
        <f t="shared" si="288"/>
        <v>0</v>
      </c>
      <c r="AH352" s="1140">
        <v>2</v>
      </c>
      <c r="AI352" s="1122">
        <f>$J$11*((((AC352)+(AE352*AD352)+(AG352*AF352))*AH352)*AB352)</f>
        <v>495.47520000000003</v>
      </c>
      <c r="AJ352" s="1144">
        <f t="shared" si="289"/>
        <v>0</v>
      </c>
      <c r="AK352" s="1145">
        <f t="shared" si="290"/>
        <v>0</v>
      </c>
      <c r="AL352" s="1146">
        <f t="shared" si="286"/>
        <v>0</v>
      </c>
    </row>
    <row r="353" spans="1:38" ht="18.75">
      <c r="A353" s="1126"/>
      <c r="B353" s="1127"/>
      <c r="C353" s="1128"/>
      <c r="D353" s="1127"/>
      <c r="E353" s="1127"/>
      <c r="F353" s="1129"/>
      <c r="G353" s="1129"/>
      <c r="H353" s="1129"/>
      <c r="I353" s="1130"/>
      <c r="J353" s="1131"/>
      <c r="K353" s="1132"/>
      <c r="L353" s="1133"/>
      <c r="M353" s="1127" t="s">
        <v>1293</v>
      </c>
      <c r="N353" s="1134">
        <f>I350*(F350*H350)</f>
        <v>3.165</v>
      </c>
      <c r="O353" s="1094"/>
      <c r="P353" s="1135"/>
      <c r="Q353" s="1136"/>
      <c r="R353" s="1137"/>
      <c r="S353" s="1138"/>
      <c r="T353" s="1139"/>
      <c r="U353" s="1131"/>
      <c r="V353" s="1139"/>
      <c r="W353" s="1140"/>
      <c r="X353" s="1122"/>
      <c r="Y353" s="1141"/>
      <c r="Z353" s="1142"/>
      <c r="AA353" s="1137"/>
      <c r="AB353" s="1138"/>
      <c r="AC353" s="1139"/>
      <c r="AD353" s="1131"/>
      <c r="AE353" s="1139"/>
      <c r="AF353" s="1131"/>
      <c r="AG353" s="1139"/>
      <c r="AH353" s="1140"/>
      <c r="AI353" s="1122"/>
      <c r="AJ353" s="1144">
        <f t="shared" si="289"/>
        <v>0</v>
      </c>
      <c r="AK353" s="1145">
        <f t="shared" si="290"/>
        <v>0</v>
      </c>
      <c r="AL353" s="1146">
        <f t="shared" si="286"/>
        <v>0</v>
      </c>
    </row>
    <row r="354" spans="1:38" ht="18.75">
      <c r="A354" s="1126"/>
      <c r="B354" s="1127"/>
      <c r="C354" s="1128"/>
      <c r="D354" s="1127"/>
      <c r="E354" s="1127"/>
      <c r="F354" s="1168"/>
      <c r="G354" s="1168"/>
      <c r="H354" s="1168"/>
      <c r="I354" s="1130"/>
      <c r="J354" s="1169"/>
      <c r="K354" s="1132"/>
      <c r="L354" s="1133"/>
      <c r="M354" s="1127"/>
      <c r="N354" s="1134"/>
      <c r="O354" s="1094"/>
      <c r="P354" s="1135"/>
      <c r="Q354" s="1136"/>
      <c r="R354" s="1137"/>
      <c r="S354" s="1138"/>
      <c r="T354" s="1139"/>
      <c r="U354" s="1131"/>
      <c r="V354" s="1139"/>
      <c r="W354" s="1140"/>
      <c r="X354" s="1122"/>
      <c r="Y354" s="1141"/>
      <c r="Z354" s="1142"/>
      <c r="AA354" s="1137"/>
      <c r="AB354" s="1138"/>
      <c r="AC354" s="1139"/>
      <c r="AD354" s="1131"/>
      <c r="AE354" s="1139"/>
      <c r="AF354" s="1131"/>
      <c r="AG354" s="1139"/>
      <c r="AH354" s="1140"/>
      <c r="AI354" s="1122"/>
      <c r="AJ354" s="1144"/>
      <c r="AK354" s="1145"/>
      <c r="AL354" s="1146"/>
    </row>
    <row r="355" spans="1:38" ht="18.75">
      <c r="A355" s="1136"/>
      <c r="B355" s="1127"/>
      <c r="C355" s="1128"/>
      <c r="D355" s="1127">
        <v>3</v>
      </c>
      <c r="E355" s="1127" t="s">
        <v>1279</v>
      </c>
      <c r="F355" s="1129">
        <v>0.3</v>
      </c>
      <c r="G355" s="1129">
        <v>0.16</v>
      </c>
      <c r="H355" s="1129">
        <v>1.5</v>
      </c>
      <c r="I355" s="1181">
        <v>1</v>
      </c>
      <c r="J355" s="1131">
        <v>5</v>
      </c>
      <c r="K355" s="1132"/>
      <c r="L355" s="1133">
        <f>I355*(((F355*G355*H355)/2)*J355)</f>
        <v>0.18000000000000002</v>
      </c>
      <c r="M355" s="1127" t="s">
        <v>1280</v>
      </c>
      <c r="N355" s="1134">
        <f>I355*(G355*H355*J355)</f>
        <v>1.2</v>
      </c>
      <c r="O355" s="1094"/>
      <c r="P355" s="1182" t="s">
        <v>1281</v>
      </c>
      <c r="Q355" s="1136">
        <v>8</v>
      </c>
      <c r="R355" s="1137"/>
      <c r="S355" s="1138">
        <v>1</v>
      </c>
      <c r="T355" s="1139">
        <f>(H355+0.4)-0.06</f>
        <v>1.8399999999999999</v>
      </c>
      <c r="U355" s="1131">
        <v>2</v>
      </c>
      <c r="V355" s="1139">
        <f>6*Q355/1000</f>
        <v>4.8000000000000001E-2</v>
      </c>
      <c r="W355" s="1140">
        <v>8</v>
      </c>
      <c r="X355" s="1122">
        <f>I355*((((T355)+(V355*U355)*S355)*W355))</f>
        <v>15.488</v>
      </c>
      <c r="Y355" s="1183" t="s">
        <v>1282</v>
      </c>
      <c r="Z355" s="1142">
        <v>13</v>
      </c>
      <c r="AA355" s="1137">
        <v>0.15</v>
      </c>
      <c r="AB355" s="1138">
        <f>($G$19)/AA355+1</f>
        <v>2</v>
      </c>
      <c r="AC355" s="1139">
        <v>4.83</v>
      </c>
      <c r="AD355" s="1131">
        <v>2</v>
      </c>
      <c r="AE355" s="1139">
        <f>6*Z355/1000</f>
        <v>7.8E-2</v>
      </c>
      <c r="AF355" s="1131">
        <v>2</v>
      </c>
      <c r="AG355" s="1143">
        <f t="shared" ref="AG355:AG359" si="293">(40*Z355/1000)*AF355</f>
        <v>1.04</v>
      </c>
      <c r="AH355" s="1140">
        <v>1</v>
      </c>
      <c r="AI355" s="1122">
        <f>$J$11*((((AC355)+(AE355*AD355)+(AG355*AF355))*AH355)*AB355)</f>
        <v>113.056</v>
      </c>
      <c r="AJ355" s="1144">
        <f t="shared" ref="AJ355:AJ360" si="294">((IF(Q355=$AK$7,X355,0)+(IF(Z355=$AK$7,AI355,0))))*$AK$9</f>
        <v>0</v>
      </c>
      <c r="AK355" s="1145">
        <f t="shared" ref="AK355:AK360" si="295">((IF(Q355=$AL$7,X355,0)+(IF(Z355=$AL$7,AI355,0))))*$AL$9</f>
        <v>117.82319466666667</v>
      </c>
      <c r="AL355" s="1146">
        <f t="shared" ref="AL355:AL360" si="296">((IF(Q355=$AM$7,X355,0)+(IF(Z355=$AM$7,AI355,0))))*$AM$9</f>
        <v>0</v>
      </c>
    </row>
    <row r="356" spans="1:38" ht="18.75">
      <c r="A356" s="1126"/>
      <c r="B356" s="1127"/>
      <c r="C356" s="1128"/>
      <c r="D356" s="1127"/>
      <c r="E356" s="1127" t="s">
        <v>1283</v>
      </c>
      <c r="F356" s="1129">
        <v>1.5</v>
      </c>
      <c r="G356" s="1129">
        <v>0.15</v>
      </c>
      <c r="H356" s="1129">
        <v>1.7</v>
      </c>
      <c r="I356" s="1130">
        <v>1</v>
      </c>
      <c r="J356" s="1131"/>
      <c r="K356" s="1132"/>
      <c r="L356" s="1133">
        <f>I356*(F356*G356*H356)</f>
        <v>0.38249999999999995</v>
      </c>
      <c r="M356" s="1127" t="s">
        <v>1284</v>
      </c>
      <c r="N356" s="1134"/>
      <c r="O356" s="1094"/>
      <c r="P356" s="1135" t="s">
        <v>1285</v>
      </c>
      <c r="Q356" s="1136">
        <v>8</v>
      </c>
      <c r="R356" s="1137">
        <v>0.2</v>
      </c>
      <c r="S356" s="1138">
        <f>(H355/R356+1)</f>
        <v>8.5</v>
      </c>
      <c r="T356" s="1139">
        <f>(F355+G355+0.3)-(0.03*2)</f>
        <v>0.7</v>
      </c>
      <c r="U356" s="1131">
        <v>2</v>
      </c>
      <c r="V356" s="1139">
        <f>6*Q356/1000</f>
        <v>4.8000000000000001E-2</v>
      </c>
      <c r="W356" s="1140">
        <v>8</v>
      </c>
      <c r="X356" s="1122">
        <f>I355*(((((T356)+(V356*U356))*S356)*W356))</f>
        <v>54.127999999999993</v>
      </c>
      <c r="Y356" s="1141" t="s">
        <v>1286</v>
      </c>
      <c r="Z356" s="1142">
        <v>13</v>
      </c>
      <c r="AA356" s="1137">
        <v>0.15</v>
      </c>
      <c r="AB356" s="1138">
        <f>($G$19)/AA356+1</f>
        <v>2</v>
      </c>
      <c r="AC356" s="1139">
        <f>0.71+2.72</f>
        <v>3.43</v>
      </c>
      <c r="AD356" s="1131">
        <v>2</v>
      </c>
      <c r="AE356" s="1139">
        <f>6*Z356/1000</f>
        <v>7.8E-2</v>
      </c>
      <c r="AF356" s="1131">
        <v>2</v>
      </c>
      <c r="AG356" s="1143">
        <f t="shared" si="293"/>
        <v>1.04</v>
      </c>
      <c r="AH356" s="1140">
        <v>1</v>
      </c>
      <c r="AI356" s="1122">
        <f t="shared" ref="AI356:AI357" si="297">$J$11*((((AC356)+(AE356*AD356)+(AG356*AF356))*AH356)*AB356)</f>
        <v>90.656000000000006</v>
      </c>
      <c r="AJ356" s="1144">
        <f t="shared" si="294"/>
        <v>0</v>
      </c>
      <c r="AK356" s="1145">
        <f t="shared" si="295"/>
        <v>94.478661333333335</v>
      </c>
      <c r="AL356" s="1146">
        <f t="shared" si="296"/>
        <v>0</v>
      </c>
    </row>
    <row r="357" spans="1:38" ht="18.75">
      <c r="A357" s="1126"/>
      <c r="B357" s="1127"/>
      <c r="C357" s="1128"/>
      <c r="D357" s="1127"/>
      <c r="E357" s="1127" t="s">
        <v>1287</v>
      </c>
      <c r="F357" s="1129">
        <v>1.5</v>
      </c>
      <c r="G357" s="1129">
        <v>0.15</v>
      </c>
      <c r="H357" s="1129">
        <v>1.01</v>
      </c>
      <c r="I357" s="1130">
        <v>1</v>
      </c>
      <c r="J357" s="1131"/>
      <c r="K357" s="1132"/>
      <c r="L357" s="1133">
        <f>I357*(F357*G357*H357)</f>
        <v>0.22724999999999998</v>
      </c>
      <c r="M357" s="1127" t="s">
        <v>1288</v>
      </c>
      <c r="N357" s="1134"/>
      <c r="O357" s="1094"/>
      <c r="P357" s="1135"/>
      <c r="Q357" s="1136"/>
      <c r="R357" s="1137"/>
      <c r="S357" s="1138"/>
      <c r="T357" s="1139"/>
      <c r="U357" s="1131"/>
      <c r="V357" s="1139"/>
      <c r="W357" s="1140"/>
      <c r="X357" s="1122"/>
      <c r="Y357" s="1141" t="s">
        <v>1289</v>
      </c>
      <c r="Z357" s="1142">
        <v>13</v>
      </c>
      <c r="AA357" s="1137">
        <v>0.15</v>
      </c>
      <c r="AB357" s="1138">
        <f>($G$19)/AA357+1</f>
        <v>2</v>
      </c>
      <c r="AC357" s="1139">
        <v>2.11</v>
      </c>
      <c r="AD357" s="1131">
        <v>2</v>
      </c>
      <c r="AE357" s="1139">
        <f>6*Z357/1000</f>
        <v>7.8E-2</v>
      </c>
      <c r="AF357" s="1131">
        <v>2</v>
      </c>
      <c r="AG357" s="1143">
        <f t="shared" si="293"/>
        <v>1.04</v>
      </c>
      <c r="AH357" s="1140">
        <v>1</v>
      </c>
      <c r="AI357" s="1122">
        <f t="shared" si="297"/>
        <v>69.536000000000001</v>
      </c>
      <c r="AJ357" s="1144">
        <f t="shared" si="294"/>
        <v>0</v>
      </c>
      <c r="AK357" s="1145">
        <f t="shared" si="295"/>
        <v>72.468101333333337</v>
      </c>
      <c r="AL357" s="1146">
        <f t="shared" si="296"/>
        <v>0</v>
      </c>
    </row>
    <row r="358" spans="1:38" ht="18.75">
      <c r="A358" s="1126"/>
      <c r="B358" s="1127"/>
      <c r="C358" s="1128"/>
      <c r="D358" s="1127"/>
      <c r="E358" s="1127"/>
      <c r="F358" s="1129"/>
      <c r="G358" s="1129"/>
      <c r="H358" s="1129"/>
      <c r="I358" s="1130"/>
      <c r="J358" s="1131"/>
      <c r="K358" s="1132"/>
      <c r="L358" s="1133"/>
      <c r="M358" s="1127" t="s">
        <v>1290</v>
      </c>
      <c r="N358" s="1134"/>
      <c r="O358" s="1094"/>
      <c r="P358" s="1135"/>
      <c r="Q358" s="1136"/>
      <c r="R358" s="1137"/>
      <c r="S358" s="1138"/>
      <c r="T358" s="1139"/>
      <c r="U358" s="1131"/>
      <c r="V358" s="1139"/>
      <c r="W358" s="1140"/>
      <c r="X358" s="1145"/>
      <c r="Y358" s="1184" t="s">
        <v>1294</v>
      </c>
      <c r="Z358" s="1137">
        <v>13</v>
      </c>
      <c r="AA358" s="1137">
        <v>0.15</v>
      </c>
      <c r="AB358" s="1138">
        <f>($G$19)/AA358+1</f>
        <v>2</v>
      </c>
      <c r="AC358" s="1139">
        <v>0.71</v>
      </c>
      <c r="AD358" s="1131">
        <v>2</v>
      </c>
      <c r="AE358" s="1139">
        <f t="shared" ref="AE358:AE359" si="298">6*Z358/1000</f>
        <v>7.8E-2</v>
      </c>
      <c r="AF358" s="1131">
        <v>2</v>
      </c>
      <c r="AG358" s="1143">
        <f t="shared" si="293"/>
        <v>1.04</v>
      </c>
      <c r="AH358" s="1140">
        <v>2</v>
      </c>
      <c r="AI358" s="1122">
        <f>$J$11*((((AC358)+(AE358*AD358)+(AG358*AF358))*AH358)*AB358)</f>
        <v>94.272000000000006</v>
      </c>
      <c r="AJ358" s="1144">
        <f t="shared" si="294"/>
        <v>0</v>
      </c>
      <c r="AK358" s="1145">
        <f t="shared" si="295"/>
        <v>98.247136000000012</v>
      </c>
      <c r="AL358" s="1146">
        <f t="shared" si="296"/>
        <v>0</v>
      </c>
    </row>
    <row r="359" spans="1:38" ht="18.75">
      <c r="A359" s="1126"/>
      <c r="B359" s="1127"/>
      <c r="C359" s="1128"/>
      <c r="D359" s="1127"/>
      <c r="E359" s="1127"/>
      <c r="F359" s="1129"/>
      <c r="G359" s="1129"/>
      <c r="H359" s="1129"/>
      <c r="I359" s="1130"/>
      <c r="J359" s="1131"/>
      <c r="K359" s="1132"/>
      <c r="L359" s="1133"/>
      <c r="M359" s="1127" t="s">
        <v>1292</v>
      </c>
      <c r="N359" s="1134">
        <f>I356*(F356*H356)</f>
        <v>2.5499999999999998</v>
      </c>
      <c r="O359" s="1094"/>
      <c r="P359" s="1135"/>
      <c r="Q359" s="1136"/>
      <c r="R359" s="1137"/>
      <c r="S359" s="1138"/>
      <c r="T359" s="1139"/>
      <c r="U359" s="1131"/>
      <c r="V359" s="1139"/>
      <c r="W359" s="1140"/>
      <c r="X359" s="1122"/>
      <c r="Y359" s="1141" t="s">
        <v>1291</v>
      </c>
      <c r="Z359" s="1142">
        <v>8</v>
      </c>
      <c r="AA359" s="1137">
        <v>0.15</v>
      </c>
      <c r="AB359" s="1138">
        <f>(H356)/AA359+1</f>
        <v>12.333333333333334</v>
      </c>
      <c r="AC359" s="1139">
        <f>(F356+0.3)-0.06</f>
        <v>1.74</v>
      </c>
      <c r="AD359" s="1131">
        <v>2</v>
      </c>
      <c r="AE359" s="1139">
        <f t="shared" si="298"/>
        <v>4.8000000000000001E-2</v>
      </c>
      <c r="AF359" s="1131">
        <v>0</v>
      </c>
      <c r="AG359" s="1143">
        <f t="shared" si="293"/>
        <v>0</v>
      </c>
      <c r="AH359" s="1140">
        <v>2</v>
      </c>
      <c r="AI359" s="1122">
        <f>$J$11*((((AC359)+(AE359*AD359)+(AG359*AF359))*AH359)*AB359)</f>
        <v>362.30400000000003</v>
      </c>
      <c r="AJ359" s="1144">
        <f t="shared" si="294"/>
        <v>0</v>
      </c>
      <c r="AK359" s="1145">
        <f t="shared" si="295"/>
        <v>0</v>
      </c>
      <c r="AL359" s="1146">
        <f t="shared" si="296"/>
        <v>0</v>
      </c>
    </row>
    <row r="360" spans="1:38" ht="18.75">
      <c r="A360" s="1126"/>
      <c r="B360" s="1127"/>
      <c r="C360" s="1128"/>
      <c r="D360" s="1127"/>
      <c r="E360" s="1127"/>
      <c r="F360" s="1129"/>
      <c r="G360" s="1129"/>
      <c r="H360" s="1129"/>
      <c r="I360" s="1130"/>
      <c r="J360" s="1131"/>
      <c r="K360" s="1132"/>
      <c r="L360" s="1133"/>
      <c r="M360" s="1127" t="s">
        <v>1293</v>
      </c>
      <c r="N360" s="1134">
        <f>I357*(F357*H357)</f>
        <v>1.5150000000000001</v>
      </c>
      <c r="O360" s="1094"/>
      <c r="P360" s="1135"/>
      <c r="Q360" s="1136"/>
      <c r="R360" s="1137"/>
      <c r="S360" s="1138"/>
      <c r="T360" s="1139"/>
      <c r="U360" s="1131"/>
      <c r="V360" s="1139"/>
      <c r="W360" s="1140"/>
      <c r="X360" s="1122"/>
      <c r="Y360" s="1141"/>
      <c r="Z360" s="1142"/>
      <c r="AA360" s="1137"/>
      <c r="AB360" s="1138"/>
      <c r="AC360" s="1139"/>
      <c r="AD360" s="1131"/>
      <c r="AE360" s="1139"/>
      <c r="AF360" s="1131"/>
      <c r="AG360" s="1139"/>
      <c r="AH360" s="1140"/>
      <c r="AI360" s="1122"/>
      <c r="AJ360" s="1144">
        <f t="shared" si="294"/>
        <v>0</v>
      </c>
      <c r="AK360" s="1145">
        <f t="shared" si="295"/>
        <v>0</v>
      </c>
      <c r="AL360" s="1146">
        <f t="shared" si="296"/>
        <v>0</v>
      </c>
    </row>
    <row r="361" spans="1:38" ht="19.5" thickBot="1">
      <c r="A361" s="1147"/>
      <c r="B361" s="1148"/>
      <c r="C361" s="1149"/>
      <c r="D361" s="1148"/>
      <c r="E361" s="1148"/>
      <c r="F361" s="1185"/>
      <c r="G361" s="1185"/>
      <c r="H361" s="1185"/>
      <c r="I361" s="1151"/>
      <c r="J361" s="1186"/>
      <c r="K361" s="1153"/>
      <c r="L361" s="1154"/>
      <c r="M361" s="1148"/>
      <c r="N361" s="1155"/>
      <c r="O361" s="1094"/>
      <c r="P361" s="1156"/>
      <c r="Q361" s="1157"/>
      <c r="R361" s="1158"/>
      <c r="S361" s="1159"/>
      <c r="T361" s="1160"/>
      <c r="U361" s="1152"/>
      <c r="V361" s="1160"/>
      <c r="W361" s="1161"/>
      <c r="X361" s="1162"/>
      <c r="Y361" s="1163"/>
      <c r="Z361" s="1164"/>
      <c r="AA361" s="1158"/>
      <c r="AB361" s="1159"/>
      <c r="AC361" s="1160"/>
      <c r="AD361" s="1152"/>
      <c r="AE361" s="1160"/>
      <c r="AF361" s="1152"/>
      <c r="AG361" s="1160"/>
      <c r="AH361" s="1161"/>
      <c r="AI361" s="1162"/>
      <c r="AJ361" s="1102"/>
      <c r="AK361" s="1165"/>
      <c r="AL361" s="1187"/>
    </row>
    <row r="362" spans="1:38" ht="20.25" thickTop="1" thickBot="1">
      <c r="A362" s="1188"/>
      <c r="B362" s="1189"/>
      <c r="C362" s="1190"/>
      <c r="D362" s="1189"/>
      <c r="E362" s="1191" t="s">
        <v>468</v>
      </c>
      <c r="F362" s="1192"/>
      <c r="G362" s="1192"/>
      <c r="H362" s="1192"/>
      <c r="I362" s="1192"/>
      <c r="J362" s="1192"/>
      <c r="K362" s="1193"/>
      <c r="L362" s="1194">
        <f>SUM(L341:L361)</f>
        <v>3.2264999999999997</v>
      </c>
      <c r="M362" s="1189"/>
      <c r="N362" s="1194">
        <f>SUM(N341:N361)</f>
        <v>21.51</v>
      </c>
      <c r="O362" s="1195"/>
      <c r="P362" s="1196"/>
      <c r="Q362" s="1188"/>
      <c r="R362" s="1197"/>
      <c r="S362" s="1198"/>
      <c r="T362" s="1199"/>
      <c r="U362" s="1200"/>
      <c r="V362" s="1199"/>
      <c r="W362" s="1201"/>
      <c r="X362" s="1202"/>
      <c r="Y362" s="1203"/>
      <c r="Z362" s="1204"/>
      <c r="AA362" s="1197"/>
      <c r="AB362" s="1198"/>
      <c r="AC362" s="1199"/>
      <c r="AD362" s="1200"/>
      <c r="AE362" s="1199"/>
      <c r="AF362" s="1200"/>
      <c r="AG362" s="1199"/>
      <c r="AH362" s="1201"/>
      <c r="AI362" s="1202"/>
      <c r="AJ362" s="1205">
        <f>SUM(AJ341:AJ361)</f>
        <v>0</v>
      </c>
      <c r="AK362" s="1205">
        <f t="shared" ref="AK362:AL362" si="299">SUM(AK341:AK361)</f>
        <v>1195.4068533333334</v>
      </c>
      <c r="AL362" s="1206">
        <f t="shared" si="299"/>
        <v>0</v>
      </c>
    </row>
    <row r="363" spans="1:38" ht="20.25" thickTop="1" thickBot="1">
      <c r="A363" s="1136"/>
      <c r="B363" s="1148"/>
      <c r="C363" s="1128"/>
      <c r="D363" s="1127"/>
      <c r="E363" s="1127"/>
      <c r="F363" s="1129"/>
      <c r="G363" s="1129"/>
      <c r="H363" s="1129"/>
      <c r="I363" s="1181"/>
      <c r="J363" s="1131"/>
      <c r="K363" s="1132"/>
      <c r="L363" s="1133"/>
      <c r="M363" s="1127"/>
      <c r="N363" s="1134"/>
      <c r="O363" s="1094"/>
      <c r="P363" s="1182"/>
      <c r="Q363" s="1136"/>
      <c r="R363" s="1137"/>
      <c r="S363" s="1138"/>
      <c r="T363" s="1139"/>
      <c r="U363" s="1131"/>
      <c r="V363" s="1139"/>
      <c r="W363" s="1140"/>
      <c r="X363" s="1122"/>
      <c r="Y363" s="1183"/>
      <c r="Z363" s="1142"/>
      <c r="AA363" s="1137"/>
      <c r="AB363" s="1138"/>
      <c r="AC363" s="1139"/>
      <c r="AD363" s="1131"/>
      <c r="AE363" s="1139"/>
      <c r="AF363" s="1131"/>
      <c r="AG363" s="1139"/>
      <c r="AH363" s="1140"/>
      <c r="AI363" s="1122"/>
      <c r="AJ363" s="1144"/>
      <c r="AK363" s="1145"/>
      <c r="AL363" s="1207"/>
    </row>
    <row r="364" spans="1:38" ht="19.5" thickTop="1">
      <c r="A364" s="1136"/>
      <c r="B364" s="1166" t="s">
        <v>1277</v>
      </c>
      <c r="C364" s="1106" t="s">
        <v>1304</v>
      </c>
      <c r="D364" s="1127">
        <v>1</v>
      </c>
      <c r="E364" s="1127" t="s">
        <v>1279</v>
      </c>
      <c r="F364" s="1129">
        <v>0.3</v>
      </c>
      <c r="G364" s="1129">
        <v>0.16</v>
      </c>
      <c r="H364" s="1129">
        <v>1.5</v>
      </c>
      <c r="I364" s="1181">
        <v>1</v>
      </c>
      <c r="J364" s="1131">
        <v>8</v>
      </c>
      <c r="K364" s="1132"/>
      <c r="L364" s="1133">
        <f>I364*(((F364*G364*H364)/2)*J364)</f>
        <v>0.28800000000000003</v>
      </c>
      <c r="M364" s="1127" t="s">
        <v>1280</v>
      </c>
      <c r="N364" s="1134">
        <f>I364*(G364*H364*J364)</f>
        <v>1.92</v>
      </c>
      <c r="O364" s="1094"/>
      <c r="P364" s="1182" t="s">
        <v>1281</v>
      </c>
      <c r="Q364" s="1136">
        <v>8</v>
      </c>
      <c r="R364" s="1137"/>
      <c r="S364" s="1138">
        <v>1</v>
      </c>
      <c r="T364" s="1139">
        <f>(H364+0.4)-0.06</f>
        <v>1.8399999999999999</v>
      </c>
      <c r="U364" s="1131">
        <v>2</v>
      </c>
      <c r="V364" s="1139">
        <f>6*Q364/1000</f>
        <v>4.8000000000000001E-2</v>
      </c>
      <c r="W364" s="1140">
        <v>8</v>
      </c>
      <c r="X364" s="1122">
        <f>I364*((((T364)+(V364*U364)*S364)*W364))</f>
        <v>15.488</v>
      </c>
      <c r="Y364" s="1183" t="s">
        <v>1282</v>
      </c>
      <c r="Z364" s="1142">
        <v>13</v>
      </c>
      <c r="AA364" s="1137">
        <v>0.15</v>
      </c>
      <c r="AB364" s="1138">
        <f>($G$19)/AA364+1</f>
        <v>2</v>
      </c>
      <c r="AC364" s="1139">
        <v>3.77</v>
      </c>
      <c r="AD364" s="1131">
        <v>2</v>
      </c>
      <c r="AE364" s="1139">
        <f>6*Z364/1000</f>
        <v>7.8E-2</v>
      </c>
      <c r="AF364" s="1131">
        <v>2</v>
      </c>
      <c r="AG364" s="1143">
        <f t="shared" ref="AG364:AG368" si="300">(40*Z364/1000)*AF364</f>
        <v>1.04</v>
      </c>
      <c r="AH364" s="1140">
        <v>1</v>
      </c>
      <c r="AI364" s="1122">
        <f>$J$11*((((AC364)+(AE364*AD364)+(AG364*AF364))*AH364)*AB364)</f>
        <v>96.096000000000004</v>
      </c>
      <c r="AJ364" s="1144">
        <f t="shared" ref="AJ364:AJ369" si="301">((IF(Q364=$AK$7,X364,0)+(IF(Z364=$AK$7,AI364,0))))*$AK$9</f>
        <v>0</v>
      </c>
      <c r="AK364" s="1145">
        <f t="shared" ref="AK364:AK369" si="302">((IF(Q364=$AL$7,X364,0)+(IF(Z364=$AL$7,AI364,0))))*$AL$9</f>
        <v>100.148048</v>
      </c>
      <c r="AL364" s="1146">
        <f t="shared" ref="AL364:AL369" si="303">((IF(Q364=$AM$7,X364,0)+(IF(Z364=$AM$7,AI364,0))))*$AM$9</f>
        <v>0</v>
      </c>
    </row>
    <row r="365" spans="1:38" ht="18.75">
      <c r="A365" s="1126"/>
      <c r="B365" s="1127"/>
      <c r="C365" s="1128"/>
      <c r="D365" s="1127"/>
      <c r="E365" s="1127" t="s">
        <v>1283</v>
      </c>
      <c r="F365" s="1129">
        <v>1.5</v>
      </c>
      <c r="G365" s="1129">
        <v>0.15</v>
      </c>
      <c r="H365" s="1129">
        <v>2.4</v>
      </c>
      <c r="I365" s="1130">
        <v>1</v>
      </c>
      <c r="J365" s="1131"/>
      <c r="K365" s="1132"/>
      <c r="L365" s="1133">
        <f>I365*(F365*G365*H365)</f>
        <v>0.53999999999999992</v>
      </c>
      <c r="M365" s="1127" t="s">
        <v>1284</v>
      </c>
      <c r="N365" s="1134"/>
      <c r="O365" s="1094"/>
      <c r="P365" s="1135" t="s">
        <v>1285</v>
      </c>
      <c r="Q365" s="1136">
        <v>8</v>
      </c>
      <c r="R365" s="1137">
        <v>0.2</v>
      </c>
      <c r="S365" s="1138">
        <f>(H364/R365+1)</f>
        <v>8.5</v>
      </c>
      <c r="T365" s="1139">
        <f>(F364+G364+0.3)-(0.03*2)</f>
        <v>0.7</v>
      </c>
      <c r="U365" s="1131">
        <v>2</v>
      </c>
      <c r="V365" s="1139">
        <f>6*Q365/1000</f>
        <v>4.8000000000000001E-2</v>
      </c>
      <c r="W365" s="1140">
        <v>8</v>
      </c>
      <c r="X365" s="1122">
        <f>I364*(((((T365)+(V365*U365))*S365)*W365))</f>
        <v>54.127999999999993</v>
      </c>
      <c r="Y365" s="1141" t="s">
        <v>1286</v>
      </c>
      <c r="Z365" s="1142">
        <v>13</v>
      </c>
      <c r="AA365" s="1137">
        <v>0.15</v>
      </c>
      <c r="AB365" s="1138">
        <f>($G$19)/AA365+1</f>
        <v>2</v>
      </c>
      <c r="AC365" s="1139">
        <v>4.12</v>
      </c>
      <c r="AD365" s="1131">
        <v>2</v>
      </c>
      <c r="AE365" s="1139">
        <f>6*Z365/1000</f>
        <v>7.8E-2</v>
      </c>
      <c r="AF365" s="1131">
        <v>2</v>
      </c>
      <c r="AG365" s="1143">
        <f t="shared" si="300"/>
        <v>1.04</v>
      </c>
      <c r="AH365" s="1140">
        <v>1</v>
      </c>
      <c r="AI365" s="1122">
        <f t="shared" ref="AI365:AI366" si="304">$J$11*((((AC365)+(AE365*AD365)+(AG365*AF365))*AH365)*AB365)</f>
        <v>101.696</v>
      </c>
      <c r="AJ365" s="1144">
        <f t="shared" si="301"/>
        <v>0</v>
      </c>
      <c r="AK365" s="1145">
        <f t="shared" si="302"/>
        <v>105.98418133333334</v>
      </c>
      <c r="AL365" s="1146">
        <f t="shared" si="303"/>
        <v>0</v>
      </c>
    </row>
    <row r="366" spans="1:38" ht="18.75">
      <c r="A366" s="1126"/>
      <c r="B366" s="1127"/>
      <c r="C366" s="1128"/>
      <c r="D366" s="1127"/>
      <c r="E366" s="1127" t="s">
        <v>1287</v>
      </c>
      <c r="F366" s="1129">
        <v>1.5</v>
      </c>
      <c r="G366" s="1129">
        <v>0.15</v>
      </c>
      <c r="H366" s="1129">
        <v>1.536</v>
      </c>
      <c r="I366" s="1130">
        <v>1</v>
      </c>
      <c r="J366" s="1131"/>
      <c r="K366" s="1132"/>
      <c r="L366" s="1133">
        <f>I366*(F366*G366*H366)</f>
        <v>0.34559999999999996</v>
      </c>
      <c r="M366" s="1127" t="s">
        <v>1288</v>
      </c>
      <c r="N366" s="1134"/>
      <c r="O366" s="1094"/>
      <c r="P366" s="1135"/>
      <c r="Q366" s="1136"/>
      <c r="R366" s="1137"/>
      <c r="S366" s="1138"/>
      <c r="T366" s="1139"/>
      <c r="U366" s="1131"/>
      <c r="V366" s="1139"/>
      <c r="W366" s="1140"/>
      <c r="X366" s="1122"/>
      <c r="Y366" s="1141" t="s">
        <v>1289</v>
      </c>
      <c r="Z366" s="1142">
        <v>13</v>
      </c>
      <c r="AA366" s="1137">
        <v>0.15</v>
      </c>
      <c r="AB366" s="1138">
        <f>($G$19)/AA366+1</f>
        <v>2</v>
      </c>
      <c r="AC366" s="1139">
        <v>1.37</v>
      </c>
      <c r="AD366" s="1131">
        <v>2</v>
      </c>
      <c r="AE366" s="1139">
        <f>6*Z366/1000</f>
        <v>7.8E-2</v>
      </c>
      <c r="AF366" s="1131">
        <v>2</v>
      </c>
      <c r="AG366" s="1143">
        <f t="shared" si="300"/>
        <v>1.04</v>
      </c>
      <c r="AH366" s="1140">
        <v>1</v>
      </c>
      <c r="AI366" s="1122">
        <f t="shared" si="304"/>
        <v>57.695999999999998</v>
      </c>
      <c r="AJ366" s="1144">
        <f t="shared" si="301"/>
        <v>0</v>
      </c>
      <c r="AK366" s="1145">
        <f t="shared" si="302"/>
        <v>60.128847999999998</v>
      </c>
      <c r="AL366" s="1146">
        <f t="shared" si="303"/>
        <v>0</v>
      </c>
    </row>
    <row r="367" spans="1:38" ht="18.75">
      <c r="A367" s="1126"/>
      <c r="B367" s="1127"/>
      <c r="C367" s="1128"/>
      <c r="D367" s="1127"/>
      <c r="E367" s="1127"/>
      <c r="F367" s="1129"/>
      <c r="G367" s="1129"/>
      <c r="H367" s="1129"/>
      <c r="I367" s="1130"/>
      <c r="J367" s="1131"/>
      <c r="K367" s="1132"/>
      <c r="L367" s="1133"/>
      <c r="M367" s="1127" t="s">
        <v>1290</v>
      </c>
      <c r="N367" s="1134"/>
      <c r="O367" s="1094"/>
      <c r="P367" s="1135"/>
      <c r="Q367" s="1136"/>
      <c r="R367" s="1137"/>
      <c r="S367" s="1138"/>
      <c r="T367" s="1139"/>
      <c r="U367" s="1131"/>
      <c r="V367" s="1139"/>
      <c r="W367" s="1140"/>
      <c r="X367" s="1145"/>
      <c r="Y367" s="1184" t="s">
        <v>1294</v>
      </c>
      <c r="Z367" s="1137">
        <v>13</v>
      </c>
      <c r="AA367" s="1137">
        <v>0.15</v>
      </c>
      <c r="AB367" s="1138">
        <f>($G$19)/AA367+1</f>
        <v>2</v>
      </c>
      <c r="AC367" s="1139">
        <v>1.74</v>
      </c>
      <c r="AD367" s="1131">
        <v>2</v>
      </c>
      <c r="AE367" s="1139">
        <f t="shared" ref="AE367:AE368" si="305">6*Z367/1000</f>
        <v>7.8E-2</v>
      </c>
      <c r="AF367" s="1131">
        <v>2</v>
      </c>
      <c r="AG367" s="1143">
        <f t="shared" si="300"/>
        <v>1.04</v>
      </c>
      <c r="AH367" s="1140">
        <v>2</v>
      </c>
      <c r="AI367" s="1122">
        <f>$J$11*((((AC367)+(AE367*AD367)+(AG367*AF367))*AH367)*AB367)</f>
        <v>127.232</v>
      </c>
      <c r="AJ367" s="1144">
        <f t="shared" si="301"/>
        <v>0</v>
      </c>
      <c r="AK367" s="1145">
        <f t="shared" si="302"/>
        <v>132.59694933333333</v>
      </c>
      <c r="AL367" s="1146">
        <f t="shared" si="303"/>
        <v>0</v>
      </c>
    </row>
    <row r="368" spans="1:38" ht="18.75">
      <c r="A368" s="1126"/>
      <c r="B368" s="1127"/>
      <c r="C368" s="1128"/>
      <c r="D368" s="1127"/>
      <c r="E368" s="1127"/>
      <c r="F368" s="1129"/>
      <c r="G368" s="1129"/>
      <c r="H368" s="1129"/>
      <c r="I368" s="1130"/>
      <c r="J368" s="1131"/>
      <c r="K368" s="1132"/>
      <c r="L368" s="1133"/>
      <c r="M368" s="1127" t="s">
        <v>1292</v>
      </c>
      <c r="N368" s="1134">
        <f>I365*(F365*H365)</f>
        <v>3.5999999999999996</v>
      </c>
      <c r="O368" s="1094"/>
      <c r="P368" s="1135"/>
      <c r="Q368" s="1136"/>
      <c r="R368" s="1137"/>
      <c r="S368" s="1138"/>
      <c r="T368" s="1139"/>
      <c r="U368" s="1131"/>
      <c r="V368" s="1139"/>
      <c r="W368" s="1140"/>
      <c r="X368" s="1122"/>
      <c r="Y368" s="1141" t="s">
        <v>1291</v>
      </c>
      <c r="Z368" s="1142">
        <v>8</v>
      </c>
      <c r="AA368" s="1137">
        <v>0.15</v>
      </c>
      <c r="AB368" s="1138">
        <f>(H365)/AA368+1</f>
        <v>17</v>
      </c>
      <c r="AC368" s="1139">
        <f>(F365+0.3)-0.06</f>
        <v>1.74</v>
      </c>
      <c r="AD368" s="1131">
        <v>2</v>
      </c>
      <c r="AE368" s="1139">
        <f t="shared" si="305"/>
        <v>4.8000000000000001E-2</v>
      </c>
      <c r="AF368" s="1131">
        <v>0</v>
      </c>
      <c r="AG368" s="1143">
        <f t="shared" si="300"/>
        <v>0</v>
      </c>
      <c r="AH368" s="1140">
        <v>2</v>
      </c>
      <c r="AI368" s="1122">
        <f>$J$11*((((AC368)+(AE368*AD368)+(AG368*AF368))*AH368)*AB368)</f>
        <v>499.392</v>
      </c>
      <c r="AJ368" s="1144">
        <f t="shared" si="301"/>
        <v>0</v>
      </c>
      <c r="AK368" s="1145">
        <f t="shared" si="302"/>
        <v>0</v>
      </c>
      <c r="AL368" s="1146">
        <f t="shared" si="303"/>
        <v>0</v>
      </c>
    </row>
    <row r="369" spans="1:38" ht="18.75">
      <c r="A369" s="1126"/>
      <c r="B369" s="1127"/>
      <c r="C369" s="1128"/>
      <c r="D369" s="1127"/>
      <c r="E369" s="1127"/>
      <c r="F369" s="1129"/>
      <c r="G369" s="1129"/>
      <c r="H369" s="1129"/>
      <c r="I369" s="1130"/>
      <c r="J369" s="1131"/>
      <c r="K369" s="1132"/>
      <c r="L369" s="1133"/>
      <c r="M369" s="1127" t="s">
        <v>1293</v>
      </c>
      <c r="N369" s="1134">
        <f>I366*(F366*H366)</f>
        <v>2.3040000000000003</v>
      </c>
      <c r="O369" s="1094"/>
      <c r="P369" s="1135"/>
      <c r="Q369" s="1136"/>
      <c r="R369" s="1137"/>
      <c r="S369" s="1138"/>
      <c r="T369" s="1139"/>
      <c r="U369" s="1131"/>
      <c r="V369" s="1139"/>
      <c r="W369" s="1140"/>
      <c r="X369" s="1122"/>
      <c r="Y369" s="1141"/>
      <c r="Z369" s="1142"/>
      <c r="AA369" s="1137"/>
      <c r="AB369" s="1138"/>
      <c r="AC369" s="1139"/>
      <c r="AD369" s="1131"/>
      <c r="AE369" s="1139"/>
      <c r="AF369" s="1131"/>
      <c r="AG369" s="1139"/>
      <c r="AH369" s="1140"/>
      <c r="AI369" s="1122"/>
      <c r="AJ369" s="1144">
        <f t="shared" si="301"/>
        <v>0</v>
      </c>
      <c r="AK369" s="1145">
        <f t="shared" si="302"/>
        <v>0</v>
      </c>
      <c r="AL369" s="1146">
        <f t="shared" si="303"/>
        <v>0</v>
      </c>
    </row>
    <row r="370" spans="1:38" ht="18.75">
      <c r="A370" s="1126"/>
      <c r="B370" s="1127"/>
      <c r="C370" s="1128"/>
      <c r="D370" s="1127"/>
      <c r="E370" s="1127"/>
      <c r="F370" s="1168"/>
      <c r="G370" s="1168"/>
      <c r="H370" s="1168"/>
      <c r="I370" s="1130"/>
      <c r="J370" s="1169"/>
      <c r="K370" s="1132"/>
      <c r="L370" s="1133"/>
      <c r="M370" s="1127"/>
      <c r="N370" s="1134"/>
      <c r="O370" s="1094"/>
      <c r="P370" s="1135"/>
      <c r="Q370" s="1136"/>
      <c r="R370" s="1137"/>
      <c r="S370" s="1138"/>
      <c r="T370" s="1139"/>
      <c r="U370" s="1131"/>
      <c r="V370" s="1139"/>
      <c r="W370" s="1140"/>
      <c r="X370" s="1122"/>
      <c r="Y370" s="1141"/>
      <c r="Z370" s="1142"/>
      <c r="AA370" s="1137"/>
      <c r="AB370" s="1138"/>
      <c r="AC370" s="1139"/>
      <c r="AD370" s="1131"/>
      <c r="AE370" s="1139"/>
      <c r="AF370" s="1131"/>
      <c r="AG370" s="1139"/>
      <c r="AH370" s="1140"/>
      <c r="AI370" s="1122"/>
      <c r="AJ370" s="1144"/>
      <c r="AK370" s="1145"/>
      <c r="AL370" s="1146"/>
    </row>
    <row r="371" spans="1:38" ht="18.75">
      <c r="A371" s="1136"/>
      <c r="B371" s="1166"/>
      <c r="C371" s="1128"/>
      <c r="D371" s="1127">
        <v>2</v>
      </c>
      <c r="E371" s="1127" t="s">
        <v>1279</v>
      </c>
      <c r="F371" s="1129">
        <v>0.3</v>
      </c>
      <c r="G371" s="1129">
        <v>0.16</v>
      </c>
      <c r="H371" s="1129">
        <v>1.5</v>
      </c>
      <c r="I371" s="1181">
        <v>1</v>
      </c>
      <c r="J371" s="1131">
        <v>9</v>
      </c>
      <c r="K371" s="1132"/>
      <c r="L371" s="1133">
        <f>I371*(((F371*G371*H371)/2)*J371)</f>
        <v>0.32400000000000007</v>
      </c>
      <c r="M371" s="1127" t="s">
        <v>1280</v>
      </c>
      <c r="N371" s="1134">
        <f>I371*(G371*H371*J371)</f>
        <v>2.16</v>
      </c>
      <c r="O371" s="1094"/>
      <c r="P371" s="1182" t="s">
        <v>1281</v>
      </c>
      <c r="Q371" s="1136">
        <v>8</v>
      </c>
      <c r="R371" s="1137"/>
      <c r="S371" s="1138">
        <v>1</v>
      </c>
      <c r="T371" s="1139">
        <f>(H371+0.4)-0.06</f>
        <v>1.8399999999999999</v>
      </c>
      <c r="U371" s="1131">
        <v>2</v>
      </c>
      <c r="V371" s="1139">
        <f>6*Q371/1000</f>
        <v>4.8000000000000001E-2</v>
      </c>
      <c r="W371" s="1140">
        <v>9</v>
      </c>
      <c r="X371" s="1122">
        <f>I371*((((T371)+(V371*U371)*S371)*W371))</f>
        <v>17.423999999999999</v>
      </c>
      <c r="Y371" s="1183" t="s">
        <v>1282</v>
      </c>
      <c r="Z371" s="1142">
        <v>13</v>
      </c>
      <c r="AA371" s="1137">
        <v>0.15</v>
      </c>
      <c r="AB371" s="1138">
        <f>($G$19)/AA371+1</f>
        <v>2</v>
      </c>
      <c r="AC371" s="1139">
        <f>1.5+3.06</f>
        <v>4.5600000000000005</v>
      </c>
      <c r="AD371" s="1131">
        <v>2</v>
      </c>
      <c r="AE371" s="1139">
        <f>6*Z371/1000</f>
        <v>7.8E-2</v>
      </c>
      <c r="AF371" s="1131">
        <v>2</v>
      </c>
      <c r="AG371" s="1143">
        <f t="shared" ref="AG371:AG375" si="306">(40*Z371/1000)*AF371</f>
        <v>1.04</v>
      </c>
      <c r="AH371" s="1140">
        <v>1</v>
      </c>
      <c r="AI371" s="1122">
        <f>$J$11*((((AC371)+(AE371*AD371)+(AG371*AF371))*AH371)*AB371)</f>
        <v>108.736</v>
      </c>
      <c r="AJ371" s="1144">
        <f t="shared" ref="AJ371:AJ376" si="307">((IF(Q371=$AK$7,X371,0)+(IF(Z371=$AK$7,AI371,0))))*$AK$9</f>
        <v>0</v>
      </c>
      <c r="AK371" s="1145">
        <f t="shared" ref="AK371:AK376" si="308">((IF(Q371=$AL$7,X371,0)+(IF(Z371=$AL$7,AI371,0))))*$AL$9</f>
        <v>113.32103466666668</v>
      </c>
      <c r="AL371" s="1146">
        <f t="shared" ref="AL371:AL376" si="309">((IF(Q371=$AM$7,X371,0)+(IF(Z371=$AM$7,AI371,0))))*$AM$9</f>
        <v>0</v>
      </c>
    </row>
    <row r="372" spans="1:38" ht="18.75">
      <c r="A372" s="1126"/>
      <c r="B372" s="1127"/>
      <c r="C372" s="1128"/>
      <c r="D372" s="1127"/>
      <c r="E372" s="1127" t="s">
        <v>1283</v>
      </c>
      <c r="F372" s="1129">
        <v>1.5</v>
      </c>
      <c r="G372" s="1129">
        <v>0.15</v>
      </c>
      <c r="H372" s="1129">
        <f>0.34*9</f>
        <v>3.06</v>
      </c>
      <c r="I372" s="1130">
        <v>1</v>
      </c>
      <c r="J372" s="1131"/>
      <c r="K372" s="1132"/>
      <c r="L372" s="1133">
        <f>I372*(F372*G372*H372)</f>
        <v>0.68849999999999989</v>
      </c>
      <c r="M372" s="1127" t="s">
        <v>1284</v>
      </c>
      <c r="N372" s="1134"/>
      <c r="O372" s="1094"/>
      <c r="P372" s="1135" t="s">
        <v>1285</v>
      </c>
      <c r="Q372" s="1136">
        <v>8</v>
      </c>
      <c r="R372" s="1137">
        <v>0.2</v>
      </c>
      <c r="S372" s="1138">
        <f>(H371/R372+1)</f>
        <v>8.5</v>
      </c>
      <c r="T372" s="1139">
        <f>(F371+G371+0.3)-(0.03*2)</f>
        <v>0.7</v>
      </c>
      <c r="U372" s="1131">
        <v>2</v>
      </c>
      <c r="V372" s="1139">
        <f>6*Q372/1000</f>
        <v>4.8000000000000001E-2</v>
      </c>
      <c r="W372" s="1140">
        <v>9</v>
      </c>
      <c r="X372" s="1122">
        <f>I371*(((((T372)+(V372*U372))*S372)*W372))</f>
        <v>60.893999999999991</v>
      </c>
      <c r="Y372" s="1141" t="s">
        <v>1286</v>
      </c>
      <c r="Z372" s="1142">
        <v>13</v>
      </c>
      <c r="AA372" s="1137">
        <v>0.15</v>
      </c>
      <c r="AB372" s="1138">
        <f>($G$19)/AA372+1</f>
        <v>2</v>
      </c>
      <c r="AC372" s="1139">
        <f>1.5+3.06</f>
        <v>4.5600000000000005</v>
      </c>
      <c r="AD372" s="1131">
        <v>2</v>
      </c>
      <c r="AE372" s="1139">
        <f>6*Z372/1000</f>
        <v>7.8E-2</v>
      </c>
      <c r="AF372" s="1131">
        <v>2</v>
      </c>
      <c r="AG372" s="1143">
        <f t="shared" si="306"/>
        <v>1.04</v>
      </c>
      <c r="AH372" s="1140">
        <v>1</v>
      </c>
      <c r="AI372" s="1122">
        <f t="shared" ref="AI372:AI373" si="310">$J$11*((((AC372)+(AE372*AD372)+(AG372*AF372))*AH372)*AB372)</f>
        <v>108.736</v>
      </c>
      <c r="AJ372" s="1144">
        <f t="shared" si="307"/>
        <v>0</v>
      </c>
      <c r="AK372" s="1145">
        <f t="shared" si="308"/>
        <v>113.32103466666668</v>
      </c>
      <c r="AL372" s="1146">
        <f t="shared" si="309"/>
        <v>0</v>
      </c>
    </row>
    <row r="373" spans="1:38" ht="18.75">
      <c r="A373" s="1126"/>
      <c r="B373" s="1127"/>
      <c r="C373" s="1128"/>
      <c r="D373" s="1127"/>
      <c r="E373" s="1127" t="s">
        <v>1287</v>
      </c>
      <c r="F373" s="1129">
        <v>1.5</v>
      </c>
      <c r="G373" s="1129">
        <v>0.15</v>
      </c>
      <c r="H373" s="1129">
        <v>1.91</v>
      </c>
      <c r="I373" s="1130">
        <v>1</v>
      </c>
      <c r="J373" s="1131"/>
      <c r="K373" s="1132"/>
      <c r="L373" s="1133">
        <f>I373*(F373*G373*H373)</f>
        <v>0.42974999999999997</v>
      </c>
      <c r="M373" s="1127" t="s">
        <v>1288</v>
      </c>
      <c r="N373" s="1134"/>
      <c r="O373" s="1094"/>
      <c r="P373" s="1135"/>
      <c r="Q373" s="1136"/>
      <c r="R373" s="1137"/>
      <c r="S373" s="1138"/>
      <c r="T373" s="1139"/>
      <c r="U373" s="1131"/>
      <c r="V373" s="1139"/>
      <c r="W373" s="1140"/>
      <c r="X373" s="1122"/>
      <c r="Y373" s="1141" t="s">
        <v>1289</v>
      </c>
      <c r="Z373" s="1142">
        <v>13</v>
      </c>
      <c r="AA373" s="1137">
        <v>0.15</v>
      </c>
      <c r="AB373" s="1138">
        <f>($G$19)/AA373+1</f>
        <v>2</v>
      </c>
      <c r="AC373" s="1139">
        <v>1.5</v>
      </c>
      <c r="AD373" s="1131">
        <v>2</v>
      </c>
      <c r="AE373" s="1139">
        <f>6*Z373/1000</f>
        <v>7.8E-2</v>
      </c>
      <c r="AF373" s="1131">
        <v>2</v>
      </c>
      <c r="AG373" s="1143">
        <f t="shared" si="306"/>
        <v>1.04</v>
      </c>
      <c r="AH373" s="1140">
        <v>1</v>
      </c>
      <c r="AI373" s="1122">
        <f t="shared" si="310"/>
        <v>59.775999999999996</v>
      </c>
      <c r="AJ373" s="1144">
        <f t="shared" si="307"/>
        <v>0</v>
      </c>
      <c r="AK373" s="1145">
        <f t="shared" si="308"/>
        <v>62.296554666666665</v>
      </c>
      <c r="AL373" s="1146">
        <f t="shared" si="309"/>
        <v>0</v>
      </c>
    </row>
    <row r="374" spans="1:38" ht="18.75">
      <c r="A374" s="1126"/>
      <c r="B374" s="1127"/>
      <c r="C374" s="1128"/>
      <c r="D374" s="1127"/>
      <c r="E374" s="1127"/>
      <c r="F374" s="1129"/>
      <c r="G374" s="1129"/>
      <c r="H374" s="1129"/>
      <c r="I374" s="1130"/>
      <c r="J374" s="1131"/>
      <c r="K374" s="1132"/>
      <c r="L374" s="1133"/>
      <c r="M374" s="1127" t="s">
        <v>1290</v>
      </c>
      <c r="N374" s="1134"/>
      <c r="O374" s="1094"/>
      <c r="P374" s="1135"/>
      <c r="Q374" s="1136"/>
      <c r="R374" s="1137"/>
      <c r="S374" s="1138"/>
      <c r="T374" s="1139"/>
      <c r="U374" s="1131"/>
      <c r="V374" s="1139"/>
      <c r="W374" s="1140"/>
      <c r="X374" s="1145"/>
      <c r="Y374" s="1184" t="s">
        <v>1294</v>
      </c>
      <c r="Z374" s="1137">
        <v>13</v>
      </c>
      <c r="AA374" s="1137">
        <v>0.15</v>
      </c>
      <c r="AB374" s="1138">
        <f>($G$19)/AA374+1</f>
        <v>2</v>
      </c>
      <c r="AC374" s="1139">
        <v>1.5</v>
      </c>
      <c r="AD374" s="1131">
        <v>2</v>
      </c>
      <c r="AE374" s="1139">
        <f t="shared" ref="AE374:AE375" si="311">6*Z374/1000</f>
        <v>7.8E-2</v>
      </c>
      <c r="AF374" s="1131">
        <v>2</v>
      </c>
      <c r="AG374" s="1143">
        <f t="shared" si="306"/>
        <v>1.04</v>
      </c>
      <c r="AH374" s="1140">
        <v>2</v>
      </c>
      <c r="AI374" s="1122">
        <f>$J$11*((((AC374)+(AE374*AD374)+(AG374*AF374))*AH374)*AB374)</f>
        <v>119.55199999999999</v>
      </c>
      <c r="AJ374" s="1144">
        <f t="shared" si="307"/>
        <v>0</v>
      </c>
      <c r="AK374" s="1145">
        <f t="shared" si="308"/>
        <v>124.59310933333333</v>
      </c>
      <c r="AL374" s="1146">
        <f t="shared" si="309"/>
        <v>0</v>
      </c>
    </row>
    <row r="375" spans="1:38" ht="18.75">
      <c r="A375" s="1126"/>
      <c r="B375" s="1127"/>
      <c r="C375" s="1128"/>
      <c r="D375" s="1127"/>
      <c r="E375" s="1127"/>
      <c r="F375" s="1129"/>
      <c r="G375" s="1129"/>
      <c r="H375" s="1129"/>
      <c r="I375" s="1130"/>
      <c r="J375" s="1131"/>
      <c r="K375" s="1132"/>
      <c r="L375" s="1133"/>
      <c r="M375" s="1127" t="s">
        <v>1292</v>
      </c>
      <c r="N375" s="1134">
        <f>I372*(F372*H372)</f>
        <v>4.59</v>
      </c>
      <c r="O375" s="1094"/>
      <c r="P375" s="1135"/>
      <c r="Q375" s="1136"/>
      <c r="R375" s="1137"/>
      <c r="S375" s="1138"/>
      <c r="T375" s="1139"/>
      <c r="U375" s="1131"/>
      <c r="V375" s="1139"/>
      <c r="W375" s="1140"/>
      <c r="X375" s="1122"/>
      <c r="Y375" s="1141" t="s">
        <v>1291</v>
      </c>
      <c r="Z375" s="1142">
        <v>8</v>
      </c>
      <c r="AA375" s="1137">
        <v>0.15</v>
      </c>
      <c r="AB375" s="1138">
        <f>(H372)/AA375+1</f>
        <v>21.400000000000002</v>
      </c>
      <c r="AC375" s="1139">
        <f>(F372+0.3)-0.06</f>
        <v>1.74</v>
      </c>
      <c r="AD375" s="1131">
        <v>2</v>
      </c>
      <c r="AE375" s="1139">
        <f t="shared" si="311"/>
        <v>4.8000000000000001E-2</v>
      </c>
      <c r="AF375" s="1131">
        <v>0</v>
      </c>
      <c r="AG375" s="1143">
        <f t="shared" si="306"/>
        <v>0</v>
      </c>
      <c r="AH375" s="1140">
        <v>2</v>
      </c>
      <c r="AI375" s="1122">
        <f>$J$11*((((AC375)+(AE375*AD375)+(AG375*AF375))*AH375)*AB375)</f>
        <v>628.64640000000009</v>
      </c>
      <c r="AJ375" s="1144">
        <f t="shared" si="307"/>
        <v>0</v>
      </c>
      <c r="AK375" s="1145">
        <f t="shared" si="308"/>
        <v>0</v>
      </c>
      <c r="AL375" s="1146">
        <f t="shared" si="309"/>
        <v>0</v>
      </c>
    </row>
    <row r="376" spans="1:38" ht="18.75">
      <c r="A376" s="1126"/>
      <c r="B376" s="1127"/>
      <c r="C376" s="1128"/>
      <c r="D376" s="1127"/>
      <c r="E376" s="1127"/>
      <c r="F376" s="1129"/>
      <c r="G376" s="1129"/>
      <c r="H376" s="1129"/>
      <c r="I376" s="1130"/>
      <c r="J376" s="1131"/>
      <c r="K376" s="1132"/>
      <c r="L376" s="1133"/>
      <c r="M376" s="1127" t="s">
        <v>1293</v>
      </c>
      <c r="N376" s="1134">
        <f>I373*(F373*H373)</f>
        <v>2.8649999999999998</v>
      </c>
      <c r="O376" s="1094"/>
      <c r="P376" s="1135"/>
      <c r="Q376" s="1136"/>
      <c r="R376" s="1137"/>
      <c r="S376" s="1138"/>
      <c r="T376" s="1139"/>
      <c r="U376" s="1131"/>
      <c r="V376" s="1139"/>
      <c r="W376" s="1140"/>
      <c r="X376" s="1122"/>
      <c r="Y376" s="1141"/>
      <c r="Z376" s="1142"/>
      <c r="AA376" s="1137"/>
      <c r="AB376" s="1138"/>
      <c r="AC376" s="1139"/>
      <c r="AD376" s="1131"/>
      <c r="AE376" s="1139"/>
      <c r="AF376" s="1131"/>
      <c r="AG376" s="1139"/>
      <c r="AH376" s="1140"/>
      <c r="AI376" s="1122"/>
      <c r="AJ376" s="1144">
        <f t="shared" si="307"/>
        <v>0</v>
      </c>
      <c r="AK376" s="1145">
        <f t="shared" si="308"/>
        <v>0</v>
      </c>
      <c r="AL376" s="1146">
        <f t="shared" si="309"/>
        <v>0</v>
      </c>
    </row>
    <row r="377" spans="1:38" ht="18.75">
      <c r="A377" s="1126"/>
      <c r="B377" s="1127"/>
      <c r="C377" s="1128"/>
      <c r="D377" s="1127"/>
      <c r="E377" s="1127"/>
      <c r="F377" s="1168"/>
      <c r="G377" s="1168"/>
      <c r="H377" s="1168"/>
      <c r="I377" s="1130"/>
      <c r="J377" s="1169"/>
      <c r="K377" s="1132"/>
      <c r="L377" s="1133"/>
      <c r="M377" s="1127"/>
      <c r="N377" s="1134"/>
      <c r="O377" s="1094"/>
      <c r="P377" s="1135"/>
      <c r="Q377" s="1136"/>
      <c r="R377" s="1137"/>
      <c r="S377" s="1138"/>
      <c r="T377" s="1139"/>
      <c r="U377" s="1131"/>
      <c r="V377" s="1139"/>
      <c r="W377" s="1140"/>
      <c r="X377" s="1122"/>
      <c r="Y377" s="1141"/>
      <c r="Z377" s="1142"/>
      <c r="AA377" s="1137"/>
      <c r="AB377" s="1138"/>
      <c r="AC377" s="1139"/>
      <c r="AD377" s="1131"/>
      <c r="AE377" s="1139"/>
      <c r="AF377" s="1131"/>
      <c r="AG377" s="1139"/>
      <c r="AH377" s="1140"/>
      <c r="AI377" s="1122"/>
      <c r="AJ377" s="1144"/>
      <c r="AK377" s="1145"/>
      <c r="AL377" s="1146"/>
    </row>
    <row r="378" spans="1:38" ht="18.75">
      <c r="A378" s="1136"/>
      <c r="B378" s="1166"/>
      <c r="C378" s="1128"/>
      <c r="D378" s="1127">
        <v>3</v>
      </c>
      <c r="E378" s="1127" t="s">
        <v>1279</v>
      </c>
      <c r="F378" s="1129">
        <v>0.3</v>
      </c>
      <c r="G378" s="1129">
        <v>0.16</v>
      </c>
      <c r="H378" s="1129">
        <v>1.5</v>
      </c>
      <c r="I378" s="1181">
        <v>1</v>
      </c>
      <c r="J378" s="1131">
        <v>8</v>
      </c>
      <c r="K378" s="1132"/>
      <c r="L378" s="1133">
        <f>I378*(((F378*G378*H378)/2)*J378)</f>
        <v>0.28800000000000003</v>
      </c>
      <c r="M378" s="1127" t="s">
        <v>1280</v>
      </c>
      <c r="N378" s="1134">
        <f>I378*(G378*H378*J378)</f>
        <v>1.92</v>
      </c>
      <c r="O378" s="1094"/>
      <c r="P378" s="1182" t="s">
        <v>1281</v>
      </c>
      <c r="Q378" s="1136">
        <v>8</v>
      </c>
      <c r="R378" s="1137"/>
      <c r="S378" s="1138">
        <v>1</v>
      </c>
      <c r="T378" s="1139">
        <f>(H378+0.4)-0.06</f>
        <v>1.8399999999999999</v>
      </c>
      <c r="U378" s="1131">
        <v>2</v>
      </c>
      <c r="V378" s="1139">
        <f>6*Q378/1000</f>
        <v>4.8000000000000001E-2</v>
      </c>
      <c r="W378" s="1140">
        <v>8</v>
      </c>
      <c r="X378" s="1122">
        <f>I378*((((T378)+(V378*U378)*S378)*W378))</f>
        <v>15.488</v>
      </c>
      <c r="Y378" s="1183" t="s">
        <v>1282</v>
      </c>
      <c r="Z378" s="1142">
        <v>13</v>
      </c>
      <c r="AA378" s="1137">
        <v>0.15</v>
      </c>
      <c r="AB378" s="1138">
        <f>($G$19)/AA378+1</f>
        <v>2</v>
      </c>
      <c r="AC378" s="1139">
        <v>4.83</v>
      </c>
      <c r="AD378" s="1131">
        <v>2</v>
      </c>
      <c r="AE378" s="1139">
        <f>6*Z378/1000</f>
        <v>7.8E-2</v>
      </c>
      <c r="AF378" s="1131">
        <v>2</v>
      </c>
      <c r="AG378" s="1143">
        <f t="shared" ref="AG378:AG382" si="312">(40*Z378/1000)*AF378</f>
        <v>1.04</v>
      </c>
      <c r="AH378" s="1140">
        <v>1</v>
      </c>
      <c r="AI378" s="1122">
        <f>$J$11*((((AC378)+(AE378*AD378)+(AG378*AF378))*AH378)*AB378)</f>
        <v>113.056</v>
      </c>
      <c r="AJ378" s="1144">
        <f t="shared" ref="AJ378:AJ383" si="313">((IF(Q378=$AK$7,X378,0)+(IF(Z378=$AK$7,AI378,0))))*$AK$9</f>
        <v>0</v>
      </c>
      <c r="AK378" s="1145">
        <f t="shared" ref="AK378:AK383" si="314">((IF(Q378=$AL$7,X378,0)+(IF(Z378=$AL$7,AI378,0))))*$AL$9</f>
        <v>117.82319466666667</v>
      </c>
      <c r="AL378" s="1146">
        <f t="shared" ref="AL378:AL383" si="315">((IF(Q378=$AM$7,X378,0)+(IF(Z378=$AM$7,AI378,0))))*$AM$9</f>
        <v>0</v>
      </c>
    </row>
    <row r="379" spans="1:38" ht="18.75">
      <c r="A379" s="1126"/>
      <c r="B379" s="1127"/>
      <c r="C379" s="1128"/>
      <c r="D379" s="1127"/>
      <c r="E379" s="1127" t="s">
        <v>1283</v>
      </c>
      <c r="F379" s="1129">
        <v>1.5</v>
      </c>
      <c r="G379" s="1129">
        <v>0.15</v>
      </c>
      <c r="H379" s="1129">
        <v>2.72</v>
      </c>
      <c r="I379" s="1130">
        <v>1</v>
      </c>
      <c r="J379" s="1131"/>
      <c r="K379" s="1132"/>
      <c r="L379" s="1133">
        <f>I379*(F379*G379*H379)</f>
        <v>0.61199999999999999</v>
      </c>
      <c r="M379" s="1127" t="s">
        <v>1284</v>
      </c>
      <c r="N379" s="1134"/>
      <c r="O379" s="1094"/>
      <c r="P379" s="1135" t="s">
        <v>1285</v>
      </c>
      <c r="Q379" s="1136">
        <v>8</v>
      </c>
      <c r="R379" s="1137">
        <v>0.2</v>
      </c>
      <c r="S379" s="1138">
        <f>(H378/R379+1)</f>
        <v>8.5</v>
      </c>
      <c r="T379" s="1139">
        <f>(F378+G378+0.3)-(0.03*2)</f>
        <v>0.7</v>
      </c>
      <c r="U379" s="1131">
        <v>2</v>
      </c>
      <c r="V379" s="1139">
        <f>6*Q379/1000</f>
        <v>4.8000000000000001E-2</v>
      </c>
      <c r="W379" s="1140">
        <v>8</v>
      </c>
      <c r="X379" s="1122">
        <f>I378*(((((T379)+(V379*U379))*S379)*W379))</f>
        <v>54.127999999999993</v>
      </c>
      <c r="Y379" s="1141" t="s">
        <v>1286</v>
      </c>
      <c r="Z379" s="1142">
        <v>13</v>
      </c>
      <c r="AA379" s="1137">
        <v>0.15</v>
      </c>
      <c r="AB379" s="1138">
        <f>($G$19)/AA379+1</f>
        <v>2</v>
      </c>
      <c r="AC379" s="1139">
        <f>0.71+2.72</f>
        <v>3.43</v>
      </c>
      <c r="AD379" s="1131">
        <v>2</v>
      </c>
      <c r="AE379" s="1139">
        <f>6*Z379/1000</f>
        <v>7.8E-2</v>
      </c>
      <c r="AF379" s="1131">
        <v>2</v>
      </c>
      <c r="AG379" s="1143">
        <f t="shared" si="312"/>
        <v>1.04</v>
      </c>
      <c r="AH379" s="1140">
        <v>1</v>
      </c>
      <c r="AI379" s="1122">
        <f t="shared" ref="AI379:AI380" si="316">$J$11*((((AC379)+(AE379*AD379)+(AG379*AF379))*AH379)*AB379)</f>
        <v>90.656000000000006</v>
      </c>
      <c r="AJ379" s="1144">
        <f t="shared" si="313"/>
        <v>0</v>
      </c>
      <c r="AK379" s="1145">
        <f t="shared" si="314"/>
        <v>94.478661333333335</v>
      </c>
      <c r="AL379" s="1146">
        <f t="shared" si="315"/>
        <v>0</v>
      </c>
    </row>
    <row r="380" spans="1:38" ht="18.75">
      <c r="A380" s="1126"/>
      <c r="B380" s="1127"/>
      <c r="C380" s="1128"/>
      <c r="D380" s="1127"/>
      <c r="E380" s="1127"/>
      <c r="F380" s="1129"/>
      <c r="G380" s="1129"/>
      <c r="H380" s="1129"/>
      <c r="I380" s="1130"/>
      <c r="J380" s="1131"/>
      <c r="K380" s="1132"/>
      <c r="L380" s="1133">
        <f>I380*(F380*G380*H380)</f>
        <v>0</v>
      </c>
      <c r="M380" s="1127" t="s">
        <v>1288</v>
      </c>
      <c r="N380" s="1134"/>
      <c r="O380" s="1094"/>
      <c r="P380" s="1135"/>
      <c r="Q380" s="1136"/>
      <c r="R380" s="1137"/>
      <c r="S380" s="1138"/>
      <c r="T380" s="1139"/>
      <c r="U380" s="1131"/>
      <c r="V380" s="1139"/>
      <c r="W380" s="1140"/>
      <c r="X380" s="1122"/>
      <c r="Y380" s="1141" t="s">
        <v>1289</v>
      </c>
      <c r="Z380" s="1142">
        <v>13</v>
      </c>
      <c r="AA380" s="1137">
        <v>0.15</v>
      </c>
      <c r="AB380" s="1138">
        <f>($G$19)/AA380+1</f>
        <v>2</v>
      </c>
      <c r="AC380" s="1139">
        <v>2.11</v>
      </c>
      <c r="AD380" s="1131">
        <v>2</v>
      </c>
      <c r="AE380" s="1139">
        <f>6*Z380/1000</f>
        <v>7.8E-2</v>
      </c>
      <c r="AF380" s="1131">
        <v>2</v>
      </c>
      <c r="AG380" s="1143">
        <f t="shared" si="312"/>
        <v>1.04</v>
      </c>
      <c r="AH380" s="1140">
        <v>1</v>
      </c>
      <c r="AI380" s="1122">
        <f t="shared" si="316"/>
        <v>69.536000000000001</v>
      </c>
      <c r="AJ380" s="1144">
        <f t="shared" si="313"/>
        <v>0</v>
      </c>
      <c r="AK380" s="1145">
        <f t="shared" si="314"/>
        <v>72.468101333333337</v>
      </c>
      <c r="AL380" s="1146">
        <f t="shared" si="315"/>
        <v>0</v>
      </c>
    </row>
    <row r="381" spans="1:38" ht="18.75">
      <c r="A381" s="1126"/>
      <c r="B381" s="1127"/>
      <c r="C381" s="1128"/>
      <c r="D381" s="1127"/>
      <c r="E381" s="1127"/>
      <c r="F381" s="1129"/>
      <c r="G381" s="1129"/>
      <c r="H381" s="1129"/>
      <c r="I381" s="1130"/>
      <c r="J381" s="1131"/>
      <c r="K381" s="1132"/>
      <c r="L381" s="1133"/>
      <c r="M381" s="1127" t="s">
        <v>1290</v>
      </c>
      <c r="N381" s="1134"/>
      <c r="O381" s="1094"/>
      <c r="P381" s="1135"/>
      <c r="Q381" s="1136"/>
      <c r="R381" s="1137"/>
      <c r="S381" s="1138"/>
      <c r="T381" s="1139"/>
      <c r="U381" s="1131"/>
      <c r="V381" s="1139"/>
      <c r="W381" s="1140"/>
      <c r="X381" s="1145"/>
      <c r="Y381" s="1184" t="s">
        <v>1294</v>
      </c>
      <c r="Z381" s="1137">
        <v>13</v>
      </c>
      <c r="AA381" s="1137">
        <v>0.15</v>
      </c>
      <c r="AB381" s="1138">
        <f>($G$19)/AA381+1</f>
        <v>2</v>
      </c>
      <c r="AC381" s="1139">
        <v>0.71</v>
      </c>
      <c r="AD381" s="1131">
        <v>2</v>
      </c>
      <c r="AE381" s="1139">
        <f t="shared" ref="AE381:AE382" si="317">6*Z381/1000</f>
        <v>7.8E-2</v>
      </c>
      <c r="AF381" s="1131">
        <v>2</v>
      </c>
      <c r="AG381" s="1143">
        <f t="shared" si="312"/>
        <v>1.04</v>
      </c>
      <c r="AH381" s="1140">
        <v>2</v>
      </c>
      <c r="AI381" s="1122">
        <f>$J$11*((((AC381)+(AE381*AD381)+(AG381*AF381))*AH381)*AB381)</f>
        <v>94.272000000000006</v>
      </c>
      <c r="AJ381" s="1144">
        <f t="shared" si="313"/>
        <v>0</v>
      </c>
      <c r="AK381" s="1145">
        <f t="shared" si="314"/>
        <v>98.247136000000012</v>
      </c>
      <c r="AL381" s="1146">
        <f t="shared" si="315"/>
        <v>0</v>
      </c>
    </row>
    <row r="382" spans="1:38" ht="18.75">
      <c r="A382" s="1126"/>
      <c r="B382" s="1127"/>
      <c r="C382" s="1128"/>
      <c r="D382" s="1127"/>
      <c r="E382" s="1127"/>
      <c r="F382" s="1129"/>
      <c r="G382" s="1129"/>
      <c r="H382" s="1129"/>
      <c r="I382" s="1130"/>
      <c r="J382" s="1131"/>
      <c r="K382" s="1132"/>
      <c r="L382" s="1133"/>
      <c r="M382" s="1127" t="s">
        <v>1292</v>
      </c>
      <c r="N382" s="1134">
        <f>I379*(F379*H379)</f>
        <v>4.08</v>
      </c>
      <c r="O382" s="1094"/>
      <c r="P382" s="1135"/>
      <c r="Q382" s="1136"/>
      <c r="R382" s="1137"/>
      <c r="S382" s="1138"/>
      <c r="T382" s="1139"/>
      <c r="U382" s="1131"/>
      <c r="V382" s="1139"/>
      <c r="W382" s="1140"/>
      <c r="X382" s="1122"/>
      <c r="Y382" s="1141" t="s">
        <v>1291</v>
      </c>
      <c r="Z382" s="1142">
        <v>8</v>
      </c>
      <c r="AA382" s="1137">
        <v>0.15</v>
      </c>
      <c r="AB382" s="1138">
        <f>(H379)/AA382+1</f>
        <v>19.133333333333336</v>
      </c>
      <c r="AC382" s="1139">
        <f>(F379+0.3)-0.06</f>
        <v>1.74</v>
      </c>
      <c r="AD382" s="1131">
        <v>2</v>
      </c>
      <c r="AE382" s="1139">
        <f t="shared" si="317"/>
        <v>4.8000000000000001E-2</v>
      </c>
      <c r="AF382" s="1131">
        <v>0</v>
      </c>
      <c r="AG382" s="1143">
        <f t="shared" si="312"/>
        <v>0</v>
      </c>
      <c r="AH382" s="1140">
        <v>2</v>
      </c>
      <c r="AI382" s="1122">
        <f>$J$11*((((AC382)+(AE382*AD382)+(AG382*AF382))*AH382)*AB382)</f>
        <v>562.06080000000009</v>
      </c>
      <c r="AJ382" s="1144">
        <f t="shared" si="313"/>
        <v>0</v>
      </c>
      <c r="AK382" s="1145">
        <f t="shared" si="314"/>
        <v>0</v>
      </c>
      <c r="AL382" s="1146">
        <f t="shared" si="315"/>
        <v>0</v>
      </c>
    </row>
    <row r="383" spans="1:38" ht="19.5" thickBot="1">
      <c r="A383" s="1126"/>
      <c r="B383" s="1127"/>
      <c r="C383" s="1128"/>
      <c r="D383" s="1127"/>
      <c r="E383" s="1127"/>
      <c r="F383" s="1129"/>
      <c r="G383" s="1129"/>
      <c r="H383" s="1129"/>
      <c r="I383" s="1130"/>
      <c r="J383" s="1131"/>
      <c r="K383" s="1132"/>
      <c r="L383" s="1133"/>
      <c r="M383" s="1127"/>
      <c r="N383" s="1134"/>
      <c r="O383" s="1094"/>
      <c r="P383" s="1135"/>
      <c r="Q383" s="1136"/>
      <c r="R383" s="1137"/>
      <c r="S383" s="1138"/>
      <c r="T383" s="1139"/>
      <c r="U383" s="1131"/>
      <c r="V383" s="1139"/>
      <c r="W383" s="1140"/>
      <c r="X383" s="1122"/>
      <c r="Y383" s="1141"/>
      <c r="Z383" s="1142"/>
      <c r="AA383" s="1137"/>
      <c r="AB383" s="1138"/>
      <c r="AC383" s="1139"/>
      <c r="AD383" s="1131"/>
      <c r="AE383" s="1139"/>
      <c r="AF383" s="1131"/>
      <c r="AG383" s="1139"/>
      <c r="AH383" s="1140"/>
      <c r="AI383" s="1122"/>
      <c r="AJ383" s="1144">
        <f t="shared" si="313"/>
        <v>0</v>
      </c>
      <c r="AK383" s="1145">
        <f t="shared" si="314"/>
        <v>0</v>
      </c>
      <c r="AL383" s="1146">
        <f t="shared" si="315"/>
        <v>0</v>
      </c>
    </row>
    <row r="384" spans="1:38" ht="20.25" thickTop="1" thickBot="1">
      <c r="A384" s="1188"/>
      <c r="B384" s="1189"/>
      <c r="C384" s="1190"/>
      <c r="D384" s="1189"/>
      <c r="E384" s="1191" t="s">
        <v>468</v>
      </c>
      <c r="F384" s="1192"/>
      <c r="G384" s="1192"/>
      <c r="H384" s="1192"/>
      <c r="I384" s="1192"/>
      <c r="J384" s="1192"/>
      <c r="K384" s="1193"/>
      <c r="L384" s="1194">
        <f>SUM(L363:L383)</f>
        <v>3.5158499999999995</v>
      </c>
      <c r="M384" s="1189"/>
      <c r="N384" s="1194">
        <f>SUM(N363:N383)</f>
        <v>23.439</v>
      </c>
      <c r="O384" s="1195"/>
      <c r="P384" s="1196"/>
      <c r="Q384" s="1188"/>
      <c r="R384" s="1197"/>
      <c r="S384" s="1198"/>
      <c r="T384" s="1199"/>
      <c r="U384" s="1200"/>
      <c r="V384" s="1199"/>
      <c r="W384" s="1201"/>
      <c r="X384" s="1202"/>
      <c r="Y384" s="1203"/>
      <c r="Z384" s="1204"/>
      <c r="AA384" s="1197"/>
      <c r="AB384" s="1198"/>
      <c r="AC384" s="1199"/>
      <c r="AD384" s="1200"/>
      <c r="AE384" s="1199"/>
      <c r="AF384" s="1200"/>
      <c r="AG384" s="1199"/>
      <c r="AH384" s="1201"/>
      <c r="AI384" s="1202"/>
      <c r="AJ384" s="1205">
        <f>SUM(AJ363:AJ383)</f>
        <v>0</v>
      </c>
      <c r="AK384" s="1205">
        <f t="shared" ref="AK384:AL384" si="318">SUM(AK363:AK383)</f>
        <v>1195.4068533333334</v>
      </c>
      <c r="AL384" s="1206">
        <f t="shared" si="318"/>
        <v>0</v>
      </c>
    </row>
    <row r="385" ht="15.75" thickTop="1"/>
  </sheetData>
  <mergeCells count="40">
    <mergeCell ref="E362:K362"/>
    <mergeCell ref="E384:K384"/>
    <mergeCell ref="E230:K230"/>
    <mergeCell ref="E252:K252"/>
    <mergeCell ref="E274:K274"/>
    <mergeCell ref="E296:K296"/>
    <mergeCell ref="E318:K318"/>
    <mergeCell ref="E340:K340"/>
    <mergeCell ref="E98:K98"/>
    <mergeCell ref="E120:K120"/>
    <mergeCell ref="E142:K142"/>
    <mergeCell ref="E164:K164"/>
    <mergeCell ref="E186:K186"/>
    <mergeCell ref="E208:K208"/>
    <mergeCell ref="U9:V9"/>
    <mergeCell ref="AD9:AE9"/>
    <mergeCell ref="AF9:AG9"/>
    <mergeCell ref="E32:K32"/>
    <mergeCell ref="E54:K54"/>
    <mergeCell ref="E76:K76"/>
    <mergeCell ref="O6:O8"/>
    <mergeCell ref="P6:P8"/>
    <mergeCell ref="AJ6:AL6"/>
    <mergeCell ref="Q7:X7"/>
    <mergeCell ref="Z7:AI7"/>
    <mergeCell ref="U8:V8"/>
    <mergeCell ref="AD8:AE8"/>
    <mergeCell ref="AF8:AG8"/>
    <mergeCell ref="I6:I8"/>
    <mergeCell ref="J6:J8"/>
    <mergeCell ref="K6:K8"/>
    <mergeCell ref="L6:L8"/>
    <mergeCell ref="M6:M8"/>
    <mergeCell ref="N6:N8"/>
    <mergeCell ref="A6:A8"/>
    <mergeCell ref="B6:B8"/>
    <mergeCell ref="C6:C8"/>
    <mergeCell ref="D6:D8"/>
    <mergeCell ref="E6:E8"/>
    <mergeCell ref="F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AF77"/>
  <sheetViews>
    <sheetView topLeftCell="A55" workbookViewId="0">
      <selection activeCell="A16" sqref="A16:AF77"/>
    </sheetView>
  </sheetViews>
  <sheetFormatPr defaultRowHeight="15"/>
  <sheetData>
    <row r="16" spans="1:32">
      <c r="A16" s="965" t="s">
        <v>975</v>
      </c>
      <c r="B16" s="965"/>
      <c r="C16" s="932" t="s">
        <v>76</v>
      </c>
      <c r="D16" s="966" t="s">
        <v>1207</v>
      </c>
      <c r="E16" s="932"/>
      <c r="F16" s="934"/>
      <c r="G16" s="934"/>
      <c r="H16" s="934"/>
      <c r="I16" s="934"/>
      <c r="J16" s="934"/>
      <c r="K16" s="934"/>
      <c r="L16" s="934"/>
      <c r="M16" s="965"/>
      <c r="N16" s="965" t="s">
        <v>975</v>
      </c>
      <c r="O16" s="965"/>
      <c r="P16" s="932"/>
      <c r="Q16" s="932"/>
      <c r="R16" s="932"/>
      <c r="S16" s="932"/>
      <c r="T16" s="932" t="s">
        <v>76</v>
      </c>
      <c r="U16" s="966" t="s">
        <v>1207</v>
      </c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3"/>
    </row>
    <row r="17" spans="1:32">
      <c r="A17" s="965" t="s">
        <v>977</v>
      </c>
      <c r="B17" s="965"/>
      <c r="C17" s="932" t="s">
        <v>76</v>
      </c>
      <c r="D17" s="966" t="s">
        <v>592</v>
      </c>
      <c r="E17" s="932"/>
      <c r="F17" s="934"/>
      <c r="G17" s="934"/>
      <c r="H17" s="934"/>
      <c r="I17" s="934"/>
      <c r="J17" s="934"/>
      <c r="K17" s="934"/>
      <c r="L17" s="934"/>
      <c r="M17" s="965"/>
      <c r="N17" s="965" t="s">
        <v>977</v>
      </c>
      <c r="O17" s="965"/>
      <c r="P17" s="932"/>
      <c r="Q17" s="932"/>
      <c r="R17" s="932"/>
      <c r="S17" s="932"/>
      <c r="T17" s="932" t="s">
        <v>76</v>
      </c>
      <c r="U17" s="966" t="s">
        <v>592</v>
      </c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3"/>
    </row>
    <row r="18" spans="1:32">
      <c r="A18" s="965" t="s">
        <v>978</v>
      </c>
      <c r="B18" s="965"/>
      <c r="C18" s="932" t="s">
        <v>76</v>
      </c>
      <c r="D18" s="966" t="s">
        <v>979</v>
      </c>
      <c r="E18" s="932"/>
      <c r="F18" s="934"/>
      <c r="G18" s="934"/>
      <c r="H18" s="934"/>
      <c r="I18" s="934"/>
      <c r="J18" s="934"/>
      <c r="K18" s="934"/>
      <c r="L18" s="934"/>
      <c r="M18" s="965"/>
      <c r="N18" s="965" t="s">
        <v>978</v>
      </c>
      <c r="O18" s="965"/>
      <c r="P18" s="932"/>
      <c r="Q18" s="932"/>
      <c r="R18" s="932"/>
      <c r="S18" s="932"/>
      <c r="T18" s="932" t="s">
        <v>76</v>
      </c>
      <c r="U18" s="966" t="s">
        <v>979</v>
      </c>
      <c r="V18" s="932"/>
      <c r="W18" s="932"/>
      <c r="X18" s="932"/>
      <c r="Y18" s="932"/>
      <c r="Z18" s="932"/>
      <c r="AA18" s="932"/>
      <c r="AB18" s="932"/>
      <c r="AC18" s="932"/>
      <c r="AD18" s="932"/>
      <c r="AE18" s="932"/>
      <c r="AF18" s="933"/>
    </row>
    <row r="19" spans="1:32">
      <c r="A19" s="965" t="s">
        <v>980</v>
      </c>
      <c r="B19" s="965"/>
      <c r="C19" s="932" t="s">
        <v>76</v>
      </c>
      <c r="D19" s="966" t="s">
        <v>981</v>
      </c>
      <c r="E19" s="932"/>
      <c r="F19" s="934"/>
      <c r="G19" s="934"/>
      <c r="H19" s="934"/>
      <c r="I19" s="934"/>
      <c r="J19" s="934"/>
      <c r="K19" s="934"/>
      <c r="L19" s="934"/>
      <c r="M19" s="965"/>
      <c r="N19" s="965" t="s">
        <v>980</v>
      </c>
      <c r="O19" s="965"/>
      <c r="P19" s="932"/>
      <c r="Q19" s="932"/>
      <c r="R19" s="932"/>
      <c r="S19" s="932"/>
      <c r="T19" s="932" t="s">
        <v>76</v>
      </c>
      <c r="U19" s="966" t="s">
        <v>981</v>
      </c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3"/>
    </row>
    <row r="20" spans="1:32">
      <c r="A20" s="965"/>
      <c r="B20" s="965"/>
      <c r="C20" s="932"/>
      <c r="D20" s="966"/>
      <c r="E20" s="932"/>
      <c r="F20" s="934"/>
      <c r="G20" s="934"/>
      <c r="H20" s="934"/>
      <c r="I20" s="934"/>
      <c r="J20" s="934"/>
      <c r="K20" s="934"/>
      <c r="L20" s="934"/>
      <c r="M20" s="965"/>
      <c r="N20" s="965"/>
      <c r="O20" s="965"/>
      <c r="P20" s="932"/>
      <c r="Q20" s="932"/>
      <c r="R20" s="932"/>
      <c r="S20" s="932"/>
      <c r="T20" s="932"/>
      <c r="U20" s="966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3"/>
    </row>
    <row r="21" spans="1:32">
      <c r="A21" s="819" t="s">
        <v>66</v>
      </c>
      <c r="B21" s="819" t="s">
        <v>1208</v>
      </c>
      <c r="C21" s="837" t="s">
        <v>1209</v>
      </c>
      <c r="D21" s="837" t="s">
        <v>1210</v>
      </c>
      <c r="E21" s="818" t="s">
        <v>1211</v>
      </c>
      <c r="F21" s="818"/>
      <c r="G21" s="818"/>
      <c r="H21" s="818" t="s">
        <v>1212</v>
      </c>
      <c r="I21" s="818" t="s">
        <v>1213</v>
      </c>
      <c r="J21" s="818"/>
      <c r="K21" s="967"/>
      <c r="L21" s="818" t="s">
        <v>1211</v>
      </c>
      <c r="M21" s="818"/>
      <c r="N21" s="828" t="s">
        <v>1214</v>
      </c>
      <c r="O21" s="828"/>
      <c r="P21" s="968" t="s">
        <v>1215</v>
      </c>
      <c r="Q21" s="968"/>
      <c r="R21" s="825" t="s">
        <v>1216</v>
      </c>
      <c r="S21" s="825"/>
      <c r="T21" s="825" t="s">
        <v>1217</v>
      </c>
      <c r="U21" s="825"/>
      <c r="V21" s="818" t="s">
        <v>1218</v>
      </c>
      <c r="W21" s="818"/>
      <c r="X21" s="818" t="s">
        <v>1219</v>
      </c>
      <c r="Y21" s="818"/>
      <c r="Z21" s="818" t="s">
        <v>1220</v>
      </c>
      <c r="AA21" s="818"/>
      <c r="AB21" s="833" t="s">
        <v>1221</v>
      </c>
      <c r="AC21" s="833"/>
      <c r="AD21" s="818" t="s">
        <v>1222</v>
      </c>
      <c r="AE21" s="818"/>
      <c r="AF21" s="840" t="s">
        <v>998</v>
      </c>
    </row>
    <row r="22" spans="1:32">
      <c r="A22" s="819"/>
      <c r="B22" s="819"/>
      <c r="C22" s="819" t="s">
        <v>1223</v>
      </c>
      <c r="D22" s="819" t="s">
        <v>1224</v>
      </c>
      <c r="E22" s="845" t="s">
        <v>1007</v>
      </c>
      <c r="F22" s="845" t="s">
        <v>1225</v>
      </c>
      <c r="G22" s="845" t="s">
        <v>1226</v>
      </c>
      <c r="H22" s="818"/>
      <c r="I22" s="845" t="s">
        <v>1227</v>
      </c>
      <c r="J22" s="845" t="s">
        <v>1228</v>
      </c>
      <c r="K22" s="967"/>
      <c r="L22" s="845" t="s">
        <v>1229</v>
      </c>
      <c r="M22" s="845" t="s">
        <v>1230</v>
      </c>
      <c r="N22" s="843" t="s">
        <v>494</v>
      </c>
      <c r="O22" s="843" t="s">
        <v>1012</v>
      </c>
      <c r="P22" s="969" t="s">
        <v>494</v>
      </c>
      <c r="Q22" s="969" t="s">
        <v>1012</v>
      </c>
      <c r="R22" s="840" t="s">
        <v>494</v>
      </c>
      <c r="S22" s="840" t="s">
        <v>1012</v>
      </c>
      <c r="T22" s="840" t="s">
        <v>494</v>
      </c>
      <c r="U22" s="840" t="s">
        <v>1012</v>
      </c>
      <c r="V22" s="818" t="s">
        <v>1231</v>
      </c>
      <c r="W22" s="818"/>
      <c r="X22" s="845" t="s">
        <v>494</v>
      </c>
      <c r="Y22" s="845" t="s">
        <v>1012</v>
      </c>
      <c r="Z22" s="845" t="s">
        <v>494</v>
      </c>
      <c r="AA22" s="845" t="s">
        <v>1012</v>
      </c>
      <c r="AB22" s="970" t="s">
        <v>494</v>
      </c>
      <c r="AC22" s="970" t="s">
        <v>1012</v>
      </c>
      <c r="AD22" s="845" t="s">
        <v>494</v>
      </c>
      <c r="AE22" s="845" t="s">
        <v>1012</v>
      </c>
      <c r="AF22" s="825" t="s">
        <v>1011</v>
      </c>
    </row>
    <row r="23" spans="1:32">
      <c r="A23" s="819"/>
      <c r="B23" s="819"/>
      <c r="C23" s="819"/>
      <c r="D23" s="819"/>
      <c r="E23" s="845" t="s">
        <v>151</v>
      </c>
      <c r="F23" s="845" t="s">
        <v>1015</v>
      </c>
      <c r="G23" s="845" t="s">
        <v>151</v>
      </c>
      <c r="H23" s="845" t="s">
        <v>1014</v>
      </c>
      <c r="I23" s="845" t="s">
        <v>1015</v>
      </c>
      <c r="J23" s="845" t="s">
        <v>1015</v>
      </c>
      <c r="K23" s="967"/>
      <c r="L23" s="818" t="s">
        <v>151</v>
      </c>
      <c r="M23" s="818"/>
      <c r="N23" s="828" t="s">
        <v>1016</v>
      </c>
      <c r="O23" s="828"/>
      <c r="P23" s="968" t="s">
        <v>151</v>
      </c>
      <c r="Q23" s="968"/>
      <c r="R23" s="825" t="s">
        <v>34</v>
      </c>
      <c r="S23" s="825"/>
      <c r="T23" s="825" t="s">
        <v>34</v>
      </c>
      <c r="U23" s="825"/>
      <c r="V23" s="845" t="s">
        <v>494</v>
      </c>
      <c r="W23" s="845" t="s">
        <v>1012</v>
      </c>
      <c r="X23" s="818" t="s">
        <v>151</v>
      </c>
      <c r="Y23" s="818"/>
      <c r="Z23" s="818" t="s">
        <v>151</v>
      </c>
      <c r="AA23" s="818"/>
      <c r="AB23" s="833" t="s">
        <v>1017</v>
      </c>
      <c r="AC23" s="833"/>
      <c r="AD23" s="818" t="s">
        <v>7</v>
      </c>
      <c r="AE23" s="818"/>
      <c r="AF23" s="825"/>
    </row>
    <row r="24" spans="1:32">
      <c r="A24" s="971" t="s">
        <v>1232</v>
      </c>
      <c r="B24" s="972" t="s">
        <v>1233</v>
      </c>
      <c r="C24" s="837"/>
      <c r="D24" s="837"/>
      <c r="E24" s="845"/>
      <c r="F24" s="845"/>
      <c r="G24" s="845"/>
      <c r="H24" s="845"/>
      <c r="I24" s="845"/>
      <c r="J24" s="845"/>
      <c r="K24" s="444"/>
      <c r="L24" s="973" t="str">
        <f>A24</f>
        <v>A.</v>
      </c>
      <c r="M24" s="974" t="str">
        <f>B24</f>
        <v>Slab 1st Floor</v>
      </c>
      <c r="N24" s="843"/>
      <c r="O24" s="843"/>
      <c r="P24" s="969"/>
      <c r="Q24" s="969"/>
      <c r="R24" s="840"/>
      <c r="S24" s="840"/>
      <c r="T24" s="840"/>
      <c r="U24" s="840"/>
      <c r="V24" s="845"/>
      <c r="W24" s="845"/>
      <c r="X24" s="845"/>
      <c r="Y24" s="845"/>
      <c r="Z24" s="845"/>
      <c r="AA24" s="845"/>
      <c r="AB24" s="970"/>
      <c r="AC24" s="970"/>
      <c r="AD24" s="845"/>
      <c r="AE24" s="845"/>
      <c r="AF24" s="840"/>
    </row>
    <row r="25" spans="1:32">
      <c r="A25" s="975">
        <v>1</v>
      </c>
      <c r="B25" s="975" t="s">
        <v>1234</v>
      </c>
      <c r="C25" s="837">
        <v>1</v>
      </c>
      <c r="D25" s="837">
        <v>1</v>
      </c>
      <c r="E25" s="845">
        <v>124.31</v>
      </c>
      <c r="F25" s="845">
        <v>765.78</v>
      </c>
      <c r="G25" s="845">
        <v>0.13</v>
      </c>
      <c r="H25" s="845">
        <f>F25*G25*D25*C25</f>
        <v>99.551400000000001</v>
      </c>
      <c r="I25" s="845">
        <f>E25*G25*D25*C25</f>
        <v>16.160299999999999</v>
      </c>
      <c r="J25" s="845">
        <f>F25*D25*C25</f>
        <v>765.78</v>
      </c>
      <c r="K25" s="444"/>
      <c r="L25" s="845">
        <v>24</v>
      </c>
      <c r="M25" s="845">
        <v>38.86</v>
      </c>
      <c r="N25" s="843">
        <v>10</v>
      </c>
      <c r="O25" s="843">
        <v>10</v>
      </c>
      <c r="P25" s="969">
        <v>0.2</v>
      </c>
      <c r="Q25" s="969">
        <v>0.2</v>
      </c>
      <c r="R25" s="840">
        <f>(M25/P25)+1</f>
        <v>195.29999999999998</v>
      </c>
      <c r="S25" s="840">
        <f>(L25/Q25)+1</f>
        <v>121</v>
      </c>
      <c r="T25" s="840">
        <f>L25/12</f>
        <v>2</v>
      </c>
      <c r="U25" s="840">
        <f>M25/12</f>
        <v>3.2383333333333333</v>
      </c>
      <c r="V25" s="845">
        <f>(T25*40*N25/1000)</f>
        <v>0.8</v>
      </c>
      <c r="W25" s="845">
        <f>(U25*40*O25/1000)</f>
        <v>1.2953333333333332</v>
      </c>
      <c r="X25" s="845">
        <f>(L25+V25)+(2*6*N25/1000)-(2*0.03)</f>
        <v>24.860000000000003</v>
      </c>
      <c r="Y25" s="845">
        <f>(M25+W25)+(2*6*O25/1000)-(2*0.03)</f>
        <v>40.215333333333326</v>
      </c>
      <c r="Z25" s="845">
        <f>X25*R25*D25*C25*2</f>
        <v>9710.3160000000007</v>
      </c>
      <c r="AA25" s="845">
        <f>Y25*S25*D25*C25*2</f>
        <v>9732.1106666666656</v>
      </c>
      <c r="AB25" s="970">
        <f>N25*N25*0.074/12</f>
        <v>0.61666666666666659</v>
      </c>
      <c r="AC25" s="970">
        <f>O25*O25*0.074/12</f>
        <v>0.61666666666666659</v>
      </c>
      <c r="AD25" s="845">
        <f>Z25*AB25</f>
        <v>5988.0281999999997</v>
      </c>
      <c r="AE25" s="845">
        <f>AA25*AC25</f>
        <v>6001.4682444444434</v>
      </c>
      <c r="AF25" s="840">
        <f>SUM(AD25:AE25)/H25</f>
        <v>120.43523691725524</v>
      </c>
    </row>
    <row r="26" spans="1:32">
      <c r="A26" s="975"/>
      <c r="B26" s="975"/>
      <c r="C26" s="837"/>
      <c r="D26" s="837"/>
      <c r="E26" s="845"/>
      <c r="F26" s="845"/>
      <c r="G26" s="845"/>
      <c r="H26" s="845"/>
      <c r="I26" s="845"/>
      <c r="J26" s="845"/>
      <c r="K26" s="444"/>
      <c r="L26" s="845"/>
      <c r="M26" s="845"/>
      <c r="N26" s="843"/>
      <c r="O26" s="843"/>
      <c r="P26" s="969"/>
      <c r="Q26" s="969"/>
      <c r="R26" s="840"/>
      <c r="S26" s="840"/>
      <c r="T26" s="840"/>
      <c r="U26" s="840"/>
      <c r="V26" s="845"/>
      <c r="W26" s="845"/>
      <c r="X26" s="845"/>
      <c r="Y26" s="845"/>
      <c r="Z26" s="845"/>
      <c r="AA26" s="845"/>
      <c r="AB26" s="970"/>
      <c r="AC26" s="970"/>
      <c r="AD26" s="845"/>
      <c r="AE26" s="845"/>
      <c r="AF26" s="840"/>
    </row>
    <row r="27" spans="1:32">
      <c r="A27" s="975"/>
      <c r="B27" s="976" t="s">
        <v>1235</v>
      </c>
      <c r="C27" s="837"/>
      <c r="D27" s="837"/>
      <c r="E27" s="845"/>
      <c r="F27" s="845"/>
      <c r="G27" s="845"/>
      <c r="H27" s="845"/>
      <c r="I27" s="845"/>
      <c r="J27" s="845"/>
      <c r="K27" s="444"/>
      <c r="L27" s="977" t="s">
        <v>1236</v>
      </c>
      <c r="M27" s="845"/>
      <c r="N27" s="843"/>
      <c r="O27" s="843"/>
      <c r="P27" s="969"/>
      <c r="Q27" s="969"/>
      <c r="R27" s="840"/>
      <c r="S27" s="840"/>
      <c r="T27" s="840"/>
      <c r="U27" s="840"/>
      <c r="V27" s="845"/>
      <c r="W27" s="845"/>
      <c r="X27" s="845"/>
      <c r="Y27" s="845"/>
      <c r="Z27" s="845"/>
      <c r="AA27" s="845"/>
      <c r="AB27" s="970"/>
      <c r="AC27" s="970"/>
      <c r="AD27" s="845"/>
      <c r="AE27" s="845"/>
      <c r="AF27" s="840"/>
    </row>
    <row r="28" spans="1:32">
      <c r="A28" s="976">
        <v>1</v>
      </c>
      <c r="B28" s="976" t="s">
        <v>1237</v>
      </c>
      <c r="C28" s="978">
        <v>1</v>
      </c>
      <c r="D28" s="978">
        <v>1</v>
      </c>
      <c r="E28" s="979">
        <v>7.02</v>
      </c>
      <c r="F28" s="979">
        <v>9.17</v>
      </c>
      <c r="G28" s="979">
        <v>0.13</v>
      </c>
      <c r="H28" s="979">
        <f>F28*G28*D28*C28</f>
        <v>1.1920999999999999</v>
      </c>
      <c r="I28" s="845">
        <f>E28*G28*D28*C28</f>
        <v>0.91259999999999997</v>
      </c>
      <c r="J28" s="979">
        <f>F28*D28*C28</f>
        <v>9.17</v>
      </c>
      <c r="K28" s="444"/>
      <c r="L28" s="979">
        <v>3.3</v>
      </c>
      <c r="M28" s="979">
        <v>3.6</v>
      </c>
      <c r="N28" s="980">
        <v>10</v>
      </c>
      <c r="O28" s="980">
        <v>10</v>
      </c>
      <c r="P28" s="981">
        <v>0.2</v>
      </c>
      <c r="Q28" s="981">
        <v>0.2</v>
      </c>
      <c r="R28" s="982">
        <f>(M28/P28)+1</f>
        <v>19</v>
      </c>
      <c r="S28" s="982">
        <f>(L28/Q28)+1</f>
        <v>17.499999999999996</v>
      </c>
      <c r="T28" s="982">
        <f t="shared" ref="T28:U28" si="0">L28/12</f>
        <v>0.27499999999999997</v>
      </c>
      <c r="U28" s="982">
        <f t="shared" si="0"/>
        <v>0.3</v>
      </c>
      <c r="V28" s="979">
        <f t="shared" ref="V28:W28" si="1">(T28*40*N28/1000)</f>
        <v>0.10999999999999999</v>
      </c>
      <c r="W28" s="979">
        <f t="shared" si="1"/>
        <v>0.12</v>
      </c>
      <c r="X28" s="979">
        <f t="shared" ref="X28:Y28" si="2">(L28+V28)+(2*6*N28/1000)-(2*0.03)</f>
        <v>3.4699999999999998</v>
      </c>
      <c r="Y28" s="979">
        <f t="shared" si="2"/>
        <v>3.7800000000000002</v>
      </c>
      <c r="Z28" s="979">
        <f>X28*R28*D28*C28*2</f>
        <v>131.85999999999999</v>
      </c>
      <c r="AA28" s="979">
        <f>Y28*S28*D28*C28*2</f>
        <v>132.29999999999998</v>
      </c>
      <c r="AB28" s="983">
        <f t="shared" ref="AB28:AC28" si="3">N28*N28*0.074/12</f>
        <v>0.61666666666666659</v>
      </c>
      <c r="AC28" s="983">
        <f t="shared" si="3"/>
        <v>0.61666666666666659</v>
      </c>
      <c r="AD28" s="979">
        <f t="shared" ref="AD28:AE28" si="4">Z28*AB28</f>
        <v>81.313666666666649</v>
      </c>
      <c r="AE28" s="979">
        <f t="shared" si="4"/>
        <v>81.58499999999998</v>
      </c>
      <c r="AF28" s="982"/>
    </row>
    <row r="29" spans="1:32">
      <c r="A29" s="984" t="s">
        <v>78</v>
      </c>
      <c r="B29" s="984"/>
      <c r="C29" s="984"/>
      <c r="D29" s="984"/>
      <c r="E29" s="984"/>
      <c r="F29" s="984"/>
      <c r="G29" s="984"/>
      <c r="H29" s="985">
        <f>(SUM(H25:H25))-(SUM(H28:H28))</f>
        <v>98.359300000000005</v>
      </c>
      <c r="I29" s="845">
        <f>SUM(I25:I28)</f>
        <v>17.072900000000001</v>
      </c>
      <c r="J29" s="985">
        <f>(SUM(J25:J25))-(SUM(J28:J28))</f>
        <v>756.61</v>
      </c>
      <c r="K29" s="444"/>
      <c r="L29" s="818" t="s">
        <v>78</v>
      </c>
      <c r="M29" s="818"/>
      <c r="N29" s="818"/>
      <c r="O29" s="818"/>
      <c r="P29" s="818"/>
      <c r="Q29" s="818"/>
      <c r="R29" s="818"/>
      <c r="S29" s="818"/>
      <c r="T29" s="818"/>
      <c r="U29" s="818"/>
      <c r="V29" s="818"/>
      <c r="W29" s="818"/>
      <c r="X29" s="818"/>
      <c r="Y29" s="818"/>
      <c r="Z29" s="818"/>
      <c r="AA29" s="818"/>
      <c r="AB29" s="818"/>
      <c r="AC29" s="818"/>
      <c r="AD29" s="845">
        <f>(SUM(AD25:AD25))-(SUM(AD28:AD28))</f>
        <v>5906.7145333333328</v>
      </c>
      <c r="AE29" s="845">
        <f>(SUM(AE25:AE25))-(SUM(AE28:AE28))</f>
        <v>5919.8832444444433</v>
      </c>
      <c r="AF29" s="840">
        <f>SUM(AD29:AE29)/H29</f>
        <v>120.23873469796732</v>
      </c>
    </row>
    <row r="30" spans="1:32">
      <c r="A30" s="971" t="s">
        <v>2</v>
      </c>
      <c r="B30" s="986" t="s">
        <v>1238</v>
      </c>
      <c r="C30" s="837"/>
      <c r="D30" s="837"/>
      <c r="E30" s="845"/>
      <c r="F30" s="845"/>
      <c r="G30" s="845"/>
      <c r="H30" s="845"/>
      <c r="I30" s="845"/>
      <c r="J30" s="845"/>
      <c r="K30" s="444"/>
      <c r="L30" s="973" t="str">
        <f>A30</f>
        <v>A</v>
      </c>
      <c r="M30" s="974" t="str">
        <f>B30</f>
        <v>Slab Lantai Dasar</v>
      </c>
      <c r="N30" s="843"/>
      <c r="O30" s="843"/>
      <c r="P30" s="969"/>
      <c r="Q30" s="969"/>
      <c r="R30" s="840"/>
      <c r="S30" s="840"/>
      <c r="T30" s="840"/>
      <c r="U30" s="840"/>
      <c r="V30" s="845"/>
      <c r="W30" s="845"/>
      <c r="X30" s="845"/>
      <c r="Y30" s="845"/>
      <c r="Z30" s="845"/>
      <c r="AA30" s="845"/>
      <c r="AB30" s="970"/>
      <c r="AC30" s="970"/>
      <c r="AD30" s="845"/>
      <c r="AE30" s="845"/>
      <c r="AF30" s="840"/>
    </row>
    <row r="31" spans="1:32">
      <c r="A31" s="975">
        <v>1</v>
      </c>
      <c r="B31" s="975" t="s">
        <v>1239</v>
      </c>
      <c r="C31" s="837">
        <v>1</v>
      </c>
      <c r="D31" s="837">
        <v>4</v>
      </c>
      <c r="E31" s="845">
        <v>58.4</v>
      </c>
      <c r="F31" s="845">
        <v>78.8</v>
      </c>
      <c r="G31" s="845">
        <v>0.12</v>
      </c>
      <c r="H31" s="845">
        <f>F31*G31*D31*C31</f>
        <v>37.823999999999998</v>
      </c>
      <c r="I31" s="845">
        <f>E31*G31*D31*C31</f>
        <v>28.032</v>
      </c>
      <c r="J31" s="845">
        <f>F31*D31*C31</f>
        <v>315.2</v>
      </c>
      <c r="K31" s="444"/>
      <c r="L31" s="845">
        <v>8</v>
      </c>
      <c r="M31" s="845">
        <v>8</v>
      </c>
      <c r="N31" s="843">
        <v>10</v>
      </c>
      <c r="O31" s="843">
        <v>10</v>
      </c>
      <c r="P31" s="969">
        <v>0.35</v>
      </c>
      <c r="Q31" s="969">
        <v>0.3</v>
      </c>
      <c r="R31" s="840">
        <f>(M31/P31)+1</f>
        <v>23.857142857142858</v>
      </c>
      <c r="S31" s="840">
        <f>(L31/Q31)+1</f>
        <v>27.666666666666668</v>
      </c>
      <c r="T31" s="840">
        <v>2</v>
      </c>
      <c r="U31" s="840">
        <v>3</v>
      </c>
      <c r="V31" s="845">
        <f>(T31*40*N31/1000)</f>
        <v>0.8</v>
      </c>
      <c r="W31" s="845">
        <f>(U31*40*O31/1000)</f>
        <v>1.2</v>
      </c>
      <c r="X31" s="845">
        <f>(L31+V31)+(2*6*N31/1000)-(2*0.03)</f>
        <v>8.86</v>
      </c>
      <c r="Y31" s="845">
        <f>(M31+W31)+(2*6*O31/1000)-(2*0.03)</f>
        <v>9.259999999999998</v>
      </c>
      <c r="Z31" s="845">
        <f>X31*R31*D31*C31*2</f>
        <v>1690.9942857142858</v>
      </c>
      <c r="AA31" s="845">
        <f>Y31*S31*D31*C31*2</f>
        <v>2049.5466666666662</v>
      </c>
      <c r="AB31" s="970">
        <f>N31*N31*0.074/12</f>
        <v>0.61666666666666659</v>
      </c>
      <c r="AC31" s="970">
        <f>O31*O31*0.074/12</f>
        <v>0.61666666666666659</v>
      </c>
      <c r="AD31" s="845">
        <f>Z31*AB31</f>
        <v>1042.7798095238095</v>
      </c>
      <c r="AE31" s="845">
        <f>AA31*AC31</f>
        <v>1263.8871111111107</v>
      </c>
      <c r="AF31" s="840">
        <f>SUM(AD31:AE31)/H31</f>
        <v>60.984214272285328</v>
      </c>
    </row>
    <row r="32" spans="1:32">
      <c r="A32" s="975">
        <v>2</v>
      </c>
      <c r="B32" s="975" t="s">
        <v>1240</v>
      </c>
      <c r="C32" s="837">
        <v>1</v>
      </c>
      <c r="D32" s="837">
        <v>4</v>
      </c>
      <c r="E32" s="845">
        <v>6</v>
      </c>
      <c r="F32" s="845">
        <v>39.200000000000003</v>
      </c>
      <c r="G32" s="845">
        <v>0.12</v>
      </c>
      <c r="H32" s="845">
        <f>F32*G32*D32*C32</f>
        <v>18.815999999999999</v>
      </c>
      <c r="I32" s="845">
        <f>E32*G32*D32*C32</f>
        <v>2.88</v>
      </c>
      <c r="J32" s="845">
        <f>F32*D32*C32</f>
        <v>156.80000000000001</v>
      </c>
      <c r="K32" s="444"/>
      <c r="L32" s="845">
        <v>8</v>
      </c>
      <c r="M32" s="845">
        <v>8</v>
      </c>
      <c r="N32" s="843">
        <v>10</v>
      </c>
      <c r="O32" s="843">
        <v>10</v>
      </c>
      <c r="P32" s="969">
        <v>0.35</v>
      </c>
      <c r="Q32" s="969">
        <v>0.3</v>
      </c>
      <c r="R32" s="840">
        <f>(M32/P32)+1</f>
        <v>23.857142857142858</v>
      </c>
      <c r="S32" s="840">
        <f>(L32/Q32)+1</f>
        <v>27.666666666666668</v>
      </c>
      <c r="T32" s="840">
        <v>2</v>
      </c>
      <c r="U32" s="840">
        <v>3</v>
      </c>
      <c r="V32" s="845">
        <f>(T32*40*N32/1000)</f>
        <v>0.8</v>
      </c>
      <c r="W32" s="845">
        <f>(U32*40*O32/1000)</f>
        <v>1.2</v>
      </c>
      <c r="X32" s="845">
        <f>(L32+V32)+(2*6*N32/1000)-(2*0.03)</f>
        <v>8.86</v>
      </c>
      <c r="Y32" s="845">
        <f>(M32+W32)+(2*6*O32/1000)-(2*0.03)</f>
        <v>9.259999999999998</v>
      </c>
      <c r="Z32" s="845">
        <f>X32*R32*D32*C32*2</f>
        <v>1690.9942857142858</v>
      </c>
      <c r="AA32" s="845">
        <f>Y32*S32*D32*C32*2</f>
        <v>2049.5466666666662</v>
      </c>
      <c r="AB32" s="970">
        <f>N32*N32*0.074/12</f>
        <v>0.61666666666666659</v>
      </c>
      <c r="AC32" s="970">
        <f>O32*O32*0.074/12</f>
        <v>0.61666666666666659</v>
      </c>
      <c r="AD32" s="845">
        <f>Z32*AB32</f>
        <v>1042.7798095238095</v>
      </c>
      <c r="AE32" s="845">
        <f>AA32*AC32</f>
        <v>1263.8871111111107</v>
      </c>
      <c r="AF32" s="840">
        <f>SUM(AD32:AE32)/H32</f>
        <v>122.59071644530826</v>
      </c>
    </row>
    <row r="33" spans="1:32">
      <c r="A33" s="975"/>
      <c r="B33" s="976" t="s">
        <v>1235</v>
      </c>
      <c r="C33" s="837"/>
      <c r="D33" s="837"/>
      <c r="E33" s="845"/>
      <c r="F33" s="845"/>
      <c r="G33" s="845"/>
      <c r="H33" s="845"/>
      <c r="I33" s="845"/>
      <c r="J33" s="845"/>
      <c r="K33" s="444"/>
      <c r="L33" s="977" t="s">
        <v>1236</v>
      </c>
      <c r="M33" s="845"/>
      <c r="N33" s="843"/>
      <c r="O33" s="843"/>
      <c r="P33" s="969"/>
      <c r="Q33" s="969"/>
      <c r="R33" s="840"/>
      <c r="S33" s="840"/>
      <c r="T33" s="840"/>
      <c r="U33" s="840"/>
      <c r="V33" s="845"/>
      <c r="W33" s="845"/>
      <c r="X33" s="845"/>
      <c r="Y33" s="845"/>
      <c r="Z33" s="845"/>
      <c r="AA33" s="845"/>
      <c r="AB33" s="970"/>
      <c r="AC33" s="970"/>
      <c r="AD33" s="845"/>
      <c r="AE33" s="845"/>
      <c r="AF33" s="840"/>
    </row>
    <row r="34" spans="1:32">
      <c r="A34" s="976">
        <v>1</v>
      </c>
      <c r="B34" s="976" t="s">
        <v>1237</v>
      </c>
      <c r="C34" s="978">
        <v>1</v>
      </c>
      <c r="D34" s="978">
        <v>4</v>
      </c>
      <c r="E34" s="979">
        <v>9</v>
      </c>
      <c r="F34" s="979">
        <v>15.055</v>
      </c>
      <c r="G34" s="979">
        <f>G32</f>
        <v>0.12</v>
      </c>
      <c r="H34" s="979">
        <f>F34*G34*D34*C34</f>
        <v>7.2263999999999999</v>
      </c>
      <c r="I34" s="979">
        <f>E34*G34*D34*C34</f>
        <v>4.32</v>
      </c>
      <c r="J34" s="979">
        <f>F34*D34*C34</f>
        <v>60.22</v>
      </c>
      <c r="K34" s="444"/>
      <c r="L34" s="979">
        <v>3</v>
      </c>
      <c r="M34" s="979">
        <v>3</v>
      </c>
      <c r="N34" s="980">
        <v>10</v>
      </c>
      <c r="O34" s="980">
        <v>10</v>
      </c>
      <c r="P34" s="981">
        <f>P31</f>
        <v>0.35</v>
      </c>
      <c r="Q34" s="981">
        <f>Q31</f>
        <v>0.3</v>
      </c>
      <c r="R34" s="982">
        <f>(M34/P34)+1</f>
        <v>9.5714285714285712</v>
      </c>
      <c r="S34" s="982">
        <f>(L34/Q34)+1</f>
        <v>11</v>
      </c>
      <c r="T34" s="982">
        <v>2</v>
      </c>
      <c r="U34" s="982">
        <v>3</v>
      </c>
      <c r="V34" s="979">
        <f>(T34*40*N34/1000)</f>
        <v>0.8</v>
      </c>
      <c r="W34" s="979">
        <f>(U34*40*O34/1000)</f>
        <v>1.2</v>
      </c>
      <c r="X34" s="979">
        <f>(L34+V34)+(2*6*N34/1000)-(2*0.03)</f>
        <v>3.86</v>
      </c>
      <c r="Y34" s="979">
        <f>(M34+W34)+(2*6*O34/1000)-(2*0.03)</f>
        <v>4.2600000000000007</v>
      </c>
      <c r="Z34" s="979">
        <f>X34*R34*D34*C34*2</f>
        <v>295.56571428571425</v>
      </c>
      <c r="AA34" s="979">
        <f>Y34*S34*D34*C34*2</f>
        <v>374.88000000000005</v>
      </c>
      <c r="AB34" s="983">
        <f>N34*N34*0.074/12</f>
        <v>0.61666666666666659</v>
      </c>
      <c r="AC34" s="983">
        <f>O34*O34*0.074/12</f>
        <v>0.61666666666666659</v>
      </c>
      <c r="AD34" s="979">
        <f>Z34*AB34</f>
        <v>182.26552380952376</v>
      </c>
      <c r="AE34" s="979">
        <f>AA34*AC34</f>
        <v>231.17599999999999</v>
      </c>
      <c r="AF34" s="982"/>
    </row>
    <row r="35" spans="1:32">
      <c r="A35" s="976">
        <v>2</v>
      </c>
      <c r="B35" s="976" t="s">
        <v>1241</v>
      </c>
      <c r="C35" s="978">
        <v>1</v>
      </c>
      <c r="D35" s="978">
        <v>4</v>
      </c>
      <c r="E35" s="979">
        <v>3</v>
      </c>
      <c r="F35" s="979">
        <v>8</v>
      </c>
      <c r="G35" s="979">
        <f>G31</f>
        <v>0.12</v>
      </c>
      <c r="H35" s="979">
        <f t="shared" ref="H35" si="5">F35*G35*D35*C35</f>
        <v>3.84</v>
      </c>
      <c r="I35" s="979">
        <f t="shared" ref="I35" si="6">E35*G35*D35*C35</f>
        <v>1.44</v>
      </c>
      <c r="J35" s="979">
        <f t="shared" ref="J35" si="7">F35*D35*C35</f>
        <v>32</v>
      </c>
      <c r="K35" s="444"/>
      <c r="L35" s="979">
        <v>3</v>
      </c>
      <c r="M35" s="979">
        <v>3</v>
      </c>
      <c r="N35" s="980">
        <v>10</v>
      </c>
      <c r="O35" s="980">
        <v>10</v>
      </c>
      <c r="P35" s="981">
        <f>P34</f>
        <v>0.35</v>
      </c>
      <c r="Q35" s="981">
        <f>Q34</f>
        <v>0.3</v>
      </c>
      <c r="R35" s="982">
        <f t="shared" ref="R35" si="8">(M35/P35)+1</f>
        <v>9.5714285714285712</v>
      </c>
      <c r="S35" s="982">
        <f t="shared" ref="S35" si="9">(L35/Q35)+1</f>
        <v>11</v>
      </c>
      <c r="T35" s="982">
        <v>2</v>
      </c>
      <c r="U35" s="982">
        <v>3</v>
      </c>
      <c r="V35" s="979">
        <f t="shared" ref="V35:W35" si="10">(T35*40*N35/1000)</f>
        <v>0.8</v>
      </c>
      <c r="W35" s="979">
        <f t="shared" si="10"/>
        <v>1.2</v>
      </c>
      <c r="X35" s="979">
        <f t="shared" ref="X35:Y35" si="11">(L35+V35)+(2*6*N35/1000)-(2*0.03)</f>
        <v>3.86</v>
      </c>
      <c r="Y35" s="979">
        <f t="shared" si="11"/>
        <v>4.2600000000000007</v>
      </c>
      <c r="Z35" s="979">
        <f t="shared" ref="Z35" si="12">X35*R35*D35*C35*2</f>
        <v>295.56571428571425</v>
      </c>
      <c r="AA35" s="979">
        <f t="shared" ref="AA35" si="13">Y35*S35*D35*C35*2</f>
        <v>374.88000000000005</v>
      </c>
      <c r="AB35" s="983">
        <f t="shared" ref="AB35:AC35" si="14">N35*N35*0.074/12</f>
        <v>0.61666666666666659</v>
      </c>
      <c r="AC35" s="983">
        <f t="shared" si="14"/>
        <v>0.61666666666666659</v>
      </c>
      <c r="AD35" s="979">
        <f t="shared" ref="AD35:AE35" si="15">Z35*AB35</f>
        <v>182.26552380952376</v>
      </c>
      <c r="AE35" s="979">
        <f t="shared" si="15"/>
        <v>231.17599999999999</v>
      </c>
      <c r="AF35" s="982"/>
    </row>
    <row r="36" spans="1:32">
      <c r="A36" s="828" t="str">
        <f>A29</f>
        <v>Total</v>
      </c>
      <c r="B36" s="828"/>
      <c r="C36" s="828"/>
      <c r="D36" s="828"/>
      <c r="E36" s="828"/>
      <c r="F36" s="828"/>
      <c r="G36" s="828"/>
      <c r="H36" s="845">
        <f>(SUM(H31:H31))-(SUM(H34:H35))</f>
        <v>26.757599999999996</v>
      </c>
      <c r="I36" s="845">
        <f>SUM(I31:I32)-SUM(I34:I35)</f>
        <v>25.152000000000001</v>
      </c>
      <c r="J36" s="845">
        <f>(SUM(J31:J31))-(SUM(J34:J35))</f>
        <v>222.98</v>
      </c>
      <c r="K36" s="444"/>
      <c r="L36" s="818" t="str">
        <f>L29</f>
        <v>Total</v>
      </c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45">
        <f>(SUM(AD31:AD31))-(SUM(AD34:AD35))</f>
        <v>678.24876190476198</v>
      </c>
      <c r="AE36" s="845">
        <f>(SUM(AE31:AE31))-(SUM(AE34:AE35))</f>
        <v>801.53511111111072</v>
      </c>
      <c r="AF36" s="840">
        <f>SUM(AD36:AE36)/H36</f>
        <v>55.303310947763364</v>
      </c>
    </row>
    <row r="37" spans="1:32">
      <c r="A37" s="444"/>
      <c r="B37" s="444"/>
      <c r="C37" s="866"/>
      <c r="D37" s="866"/>
      <c r="E37" s="867"/>
      <c r="F37" s="867"/>
      <c r="G37" s="867"/>
      <c r="H37" s="867"/>
      <c r="I37" s="867"/>
      <c r="J37" s="867"/>
      <c r="K37" s="444"/>
      <c r="L37" s="867"/>
      <c r="M37" s="867"/>
      <c r="N37" s="870"/>
      <c r="O37" s="870"/>
      <c r="P37" s="987"/>
      <c r="Q37" s="987"/>
      <c r="R37" s="869"/>
      <c r="S37" s="869"/>
      <c r="T37" s="869"/>
      <c r="U37" s="869"/>
      <c r="V37" s="867"/>
      <c r="W37" s="867"/>
      <c r="X37" s="867"/>
      <c r="Y37" s="867"/>
      <c r="Z37" s="867"/>
      <c r="AA37" s="867"/>
      <c r="AB37" s="871"/>
      <c r="AC37" s="871"/>
      <c r="AD37" s="867"/>
      <c r="AE37" s="867"/>
      <c r="AF37" s="869"/>
    </row>
    <row r="38" spans="1:32">
      <c r="A38" s="819" t="s">
        <v>66</v>
      </c>
      <c r="B38" s="819" t="s">
        <v>1208</v>
      </c>
      <c r="C38" s="837" t="s">
        <v>1209</v>
      </c>
      <c r="D38" s="837" t="s">
        <v>1210</v>
      </c>
      <c r="E38" s="818" t="s">
        <v>1211</v>
      </c>
      <c r="F38" s="818"/>
      <c r="G38" s="818"/>
      <c r="H38" s="818" t="s">
        <v>1212</v>
      </c>
      <c r="I38" s="818" t="s">
        <v>1213</v>
      </c>
      <c r="J38" s="818"/>
      <c r="K38" s="975"/>
      <c r="L38" s="818" t="s">
        <v>1211</v>
      </c>
      <c r="M38" s="818"/>
      <c r="N38" s="828" t="s">
        <v>1214</v>
      </c>
      <c r="O38" s="828"/>
      <c r="P38" s="968" t="s">
        <v>1215</v>
      </c>
      <c r="Q38" s="968"/>
      <c r="R38" s="825" t="s">
        <v>1216</v>
      </c>
      <c r="S38" s="825"/>
      <c r="T38" s="825" t="s">
        <v>1217</v>
      </c>
      <c r="U38" s="825"/>
      <c r="V38" s="818" t="s">
        <v>1218</v>
      </c>
      <c r="W38" s="818"/>
      <c r="X38" s="818" t="s">
        <v>1219</v>
      </c>
      <c r="Y38" s="818"/>
      <c r="Z38" s="818" t="s">
        <v>1220</v>
      </c>
      <c r="AA38" s="818"/>
      <c r="AB38" s="833" t="s">
        <v>1221</v>
      </c>
      <c r="AC38" s="833"/>
      <c r="AD38" s="818" t="s">
        <v>1222</v>
      </c>
      <c r="AE38" s="818"/>
      <c r="AF38" s="840" t="s">
        <v>998</v>
      </c>
    </row>
    <row r="39" spans="1:32">
      <c r="A39" s="819"/>
      <c r="B39" s="819"/>
      <c r="C39" s="819" t="s">
        <v>1223</v>
      </c>
      <c r="D39" s="819" t="s">
        <v>1224</v>
      </c>
      <c r="E39" s="845" t="s">
        <v>1007</v>
      </c>
      <c r="F39" s="845" t="s">
        <v>1225</v>
      </c>
      <c r="G39" s="845" t="s">
        <v>1226</v>
      </c>
      <c r="H39" s="818"/>
      <c r="I39" s="845" t="s">
        <v>1227</v>
      </c>
      <c r="J39" s="845" t="s">
        <v>1228</v>
      </c>
      <c r="K39" s="975"/>
      <c r="L39" s="845" t="s">
        <v>1229</v>
      </c>
      <c r="M39" s="845" t="s">
        <v>1230</v>
      </c>
      <c r="N39" s="843" t="s">
        <v>494</v>
      </c>
      <c r="O39" s="843" t="s">
        <v>1012</v>
      </c>
      <c r="P39" s="969" t="s">
        <v>494</v>
      </c>
      <c r="Q39" s="969" t="s">
        <v>1012</v>
      </c>
      <c r="R39" s="840" t="s">
        <v>494</v>
      </c>
      <c r="S39" s="840" t="s">
        <v>1012</v>
      </c>
      <c r="T39" s="840" t="s">
        <v>494</v>
      </c>
      <c r="U39" s="840" t="s">
        <v>1012</v>
      </c>
      <c r="V39" s="818" t="s">
        <v>1231</v>
      </c>
      <c r="W39" s="818"/>
      <c r="X39" s="845" t="s">
        <v>494</v>
      </c>
      <c r="Y39" s="845" t="s">
        <v>1012</v>
      </c>
      <c r="Z39" s="845" t="s">
        <v>494</v>
      </c>
      <c r="AA39" s="845" t="s">
        <v>1012</v>
      </c>
      <c r="AB39" s="970" t="s">
        <v>494</v>
      </c>
      <c r="AC39" s="970" t="s">
        <v>1012</v>
      </c>
      <c r="AD39" s="845" t="s">
        <v>494</v>
      </c>
      <c r="AE39" s="845" t="s">
        <v>1012</v>
      </c>
      <c r="AF39" s="825" t="s">
        <v>1011</v>
      </c>
    </row>
    <row r="40" spans="1:32">
      <c r="A40" s="819"/>
      <c r="B40" s="819"/>
      <c r="C40" s="819"/>
      <c r="D40" s="819"/>
      <c r="E40" s="845" t="s">
        <v>151</v>
      </c>
      <c r="F40" s="845" t="s">
        <v>1015</v>
      </c>
      <c r="G40" s="845" t="s">
        <v>151</v>
      </c>
      <c r="H40" s="845" t="s">
        <v>1014</v>
      </c>
      <c r="I40" s="845" t="s">
        <v>1015</v>
      </c>
      <c r="J40" s="845" t="s">
        <v>1015</v>
      </c>
      <c r="K40" s="975"/>
      <c r="L40" s="818" t="s">
        <v>151</v>
      </c>
      <c r="M40" s="818"/>
      <c r="N40" s="828" t="s">
        <v>1016</v>
      </c>
      <c r="O40" s="828"/>
      <c r="P40" s="968" t="s">
        <v>151</v>
      </c>
      <c r="Q40" s="968"/>
      <c r="R40" s="825" t="s">
        <v>34</v>
      </c>
      <c r="S40" s="825"/>
      <c r="T40" s="825" t="s">
        <v>34</v>
      </c>
      <c r="U40" s="825"/>
      <c r="V40" s="845" t="s">
        <v>494</v>
      </c>
      <c r="W40" s="845" t="s">
        <v>1012</v>
      </c>
      <c r="X40" s="818" t="s">
        <v>151</v>
      </c>
      <c r="Y40" s="818"/>
      <c r="Z40" s="818" t="s">
        <v>151</v>
      </c>
      <c r="AA40" s="818"/>
      <c r="AB40" s="833" t="s">
        <v>1017</v>
      </c>
      <c r="AC40" s="833"/>
      <c r="AD40" s="818" t="s">
        <v>7</v>
      </c>
      <c r="AE40" s="818"/>
      <c r="AF40" s="825"/>
    </row>
    <row r="41" spans="1:32">
      <c r="A41" s="971" t="s">
        <v>8</v>
      </c>
      <c r="B41" s="986" t="s">
        <v>1242</v>
      </c>
      <c r="C41" s="837"/>
      <c r="D41" s="837"/>
      <c r="E41" s="845"/>
      <c r="F41" s="845"/>
      <c r="G41" s="845"/>
      <c r="H41" s="845"/>
      <c r="I41" s="845"/>
      <c r="J41" s="845"/>
      <c r="K41" s="975"/>
      <c r="L41" s="973" t="str">
        <f>A41</f>
        <v>B</v>
      </c>
      <c r="M41" s="974" t="str">
        <f>B41</f>
        <v>Slab Lantai 1</v>
      </c>
      <c r="N41" s="843"/>
      <c r="O41" s="843"/>
      <c r="P41" s="969"/>
      <c r="Q41" s="969"/>
      <c r="R41" s="840"/>
      <c r="S41" s="840"/>
      <c r="T41" s="840"/>
      <c r="U41" s="840"/>
      <c r="V41" s="845"/>
      <c r="W41" s="845"/>
      <c r="X41" s="845"/>
      <c r="Y41" s="845"/>
      <c r="Z41" s="845"/>
      <c r="AA41" s="845"/>
      <c r="AB41" s="970"/>
      <c r="AC41" s="970"/>
      <c r="AD41" s="845"/>
      <c r="AE41" s="845"/>
      <c r="AF41" s="840"/>
    </row>
    <row r="42" spans="1:32">
      <c r="A42" s="975">
        <v>1</v>
      </c>
      <c r="B42" s="975" t="s">
        <v>1239</v>
      </c>
      <c r="C42" s="837">
        <v>1</v>
      </c>
      <c r="D42" s="837">
        <v>4</v>
      </c>
      <c r="E42" s="845">
        <v>58.4</v>
      </c>
      <c r="F42" s="845">
        <v>78.8</v>
      </c>
      <c r="G42" s="845">
        <v>0.12</v>
      </c>
      <c r="H42" s="845">
        <f>F42*G42*D42*C42</f>
        <v>37.823999999999998</v>
      </c>
      <c r="I42" s="845">
        <f>E42*G42*D42*C42</f>
        <v>28.032</v>
      </c>
      <c r="J42" s="845">
        <f>F42*D42*C42</f>
        <v>315.2</v>
      </c>
      <c r="K42" s="975"/>
      <c r="L42" s="845">
        <v>8</v>
      </c>
      <c r="M42" s="845">
        <v>8</v>
      </c>
      <c r="N42" s="843">
        <v>10</v>
      </c>
      <c r="O42" s="843">
        <v>10</v>
      </c>
      <c r="P42" s="969">
        <v>0.35</v>
      </c>
      <c r="Q42" s="969">
        <v>0.3</v>
      </c>
      <c r="R42" s="840">
        <f>(M42/P42)+1</f>
        <v>23.857142857142858</v>
      </c>
      <c r="S42" s="840">
        <f>(L42/Q42)+1</f>
        <v>27.666666666666668</v>
      </c>
      <c r="T42" s="840">
        <v>2</v>
      </c>
      <c r="U42" s="840">
        <v>3</v>
      </c>
      <c r="V42" s="845">
        <f>(T42*40*N42/1000)</f>
        <v>0.8</v>
      </c>
      <c r="W42" s="845">
        <f>(U42*40*O42/1000)</f>
        <v>1.2</v>
      </c>
      <c r="X42" s="845">
        <f>(L42+V42)+(2*6*N42/1000)-(2*0.03)</f>
        <v>8.86</v>
      </c>
      <c r="Y42" s="845">
        <f>(M42+W42)+(2*6*O42/1000)-(2*0.03)</f>
        <v>9.259999999999998</v>
      </c>
      <c r="Z42" s="845">
        <f>X42*R42*D42*C42*2</f>
        <v>1690.9942857142858</v>
      </c>
      <c r="AA42" s="845">
        <f>Y42*S42*D42*C42*2</f>
        <v>2049.5466666666662</v>
      </c>
      <c r="AB42" s="970">
        <f>N42*N42*0.074/12</f>
        <v>0.61666666666666659</v>
      </c>
      <c r="AC42" s="970">
        <f>O42*O42*0.074/12</f>
        <v>0.61666666666666659</v>
      </c>
      <c r="AD42" s="845">
        <f>Z42*AB42</f>
        <v>1042.7798095238095</v>
      </c>
      <c r="AE42" s="845">
        <f>AA42*AC42</f>
        <v>1263.8871111111107</v>
      </c>
      <c r="AF42" s="840">
        <f>SUM(AD42:AE42)/H42</f>
        <v>60.984214272285328</v>
      </c>
    </row>
    <row r="43" spans="1:32">
      <c r="A43" s="975">
        <v>2</v>
      </c>
      <c r="B43" s="975" t="s">
        <v>1240</v>
      </c>
      <c r="C43" s="837">
        <v>1</v>
      </c>
      <c r="D43" s="837">
        <v>4</v>
      </c>
      <c r="E43" s="845">
        <v>6</v>
      </c>
      <c r="F43" s="845">
        <v>39.200000000000003</v>
      </c>
      <c r="G43" s="845">
        <v>0.12</v>
      </c>
      <c r="H43" s="845">
        <f>F43*G43*D43*C43</f>
        <v>18.815999999999999</v>
      </c>
      <c r="I43" s="845">
        <f>E43*G43*D43*C43</f>
        <v>2.88</v>
      </c>
      <c r="J43" s="845">
        <f>F43*D43*C43</f>
        <v>156.80000000000001</v>
      </c>
      <c r="K43" s="975"/>
      <c r="L43" s="845">
        <v>8</v>
      </c>
      <c r="M43" s="845">
        <v>8</v>
      </c>
      <c r="N43" s="843">
        <v>10</v>
      </c>
      <c r="O43" s="843">
        <v>10</v>
      </c>
      <c r="P43" s="969">
        <v>0.35</v>
      </c>
      <c r="Q43" s="969">
        <v>0.3</v>
      </c>
      <c r="R43" s="840">
        <f>(M43/P43)+1</f>
        <v>23.857142857142858</v>
      </c>
      <c r="S43" s="840">
        <f>(L43/Q43)+1</f>
        <v>27.666666666666668</v>
      </c>
      <c r="T43" s="840">
        <v>2</v>
      </c>
      <c r="U43" s="840">
        <v>3</v>
      </c>
      <c r="V43" s="845">
        <f>(T43*40*N43/1000)</f>
        <v>0.8</v>
      </c>
      <c r="W43" s="845">
        <f>(U43*40*O43/1000)</f>
        <v>1.2</v>
      </c>
      <c r="X43" s="845">
        <f>(L43+V43)+(2*6*N43/1000)-(2*0.03)</f>
        <v>8.86</v>
      </c>
      <c r="Y43" s="845">
        <f>(M43+W43)+(2*6*O43/1000)-(2*0.03)</f>
        <v>9.259999999999998</v>
      </c>
      <c r="Z43" s="845">
        <f>X43*R43*D43*C43*2</f>
        <v>1690.9942857142858</v>
      </c>
      <c r="AA43" s="845">
        <f>Y43*S43*D43*C43*2</f>
        <v>2049.5466666666662</v>
      </c>
      <c r="AB43" s="970">
        <f>N43*N43*0.074/12</f>
        <v>0.61666666666666659</v>
      </c>
      <c r="AC43" s="970">
        <f>O43*O43*0.074/12</f>
        <v>0.61666666666666659</v>
      </c>
      <c r="AD43" s="845">
        <f>Z43*AB43</f>
        <v>1042.7798095238095</v>
      </c>
      <c r="AE43" s="845">
        <f>AA43*AC43</f>
        <v>1263.8871111111107</v>
      </c>
      <c r="AF43" s="840">
        <f>SUM(AD43:AE43)/H43</f>
        <v>122.59071644530826</v>
      </c>
    </row>
    <row r="44" spans="1:32">
      <c r="A44" s="975"/>
      <c r="B44" s="976" t="s">
        <v>1235</v>
      </c>
      <c r="C44" s="837"/>
      <c r="D44" s="837"/>
      <c r="E44" s="845"/>
      <c r="F44" s="845"/>
      <c r="G44" s="845"/>
      <c r="H44" s="845"/>
      <c r="I44" s="845"/>
      <c r="J44" s="845"/>
      <c r="K44" s="975"/>
      <c r="L44" s="977" t="s">
        <v>1236</v>
      </c>
      <c r="M44" s="845"/>
      <c r="N44" s="843"/>
      <c r="O44" s="843"/>
      <c r="P44" s="969"/>
      <c r="Q44" s="969"/>
      <c r="R44" s="840"/>
      <c r="S44" s="840"/>
      <c r="T44" s="840"/>
      <c r="U44" s="840"/>
      <c r="V44" s="845"/>
      <c r="W44" s="845"/>
      <c r="X44" s="845"/>
      <c r="Y44" s="845"/>
      <c r="Z44" s="845"/>
      <c r="AA44" s="845"/>
      <c r="AB44" s="970"/>
      <c r="AC44" s="970"/>
      <c r="AD44" s="845"/>
      <c r="AE44" s="845"/>
      <c r="AF44" s="840"/>
    </row>
    <row r="45" spans="1:32">
      <c r="A45" s="976">
        <v>1</v>
      </c>
      <c r="B45" s="976" t="s">
        <v>1237</v>
      </c>
      <c r="C45" s="978">
        <v>1</v>
      </c>
      <c r="D45" s="978">
        <v>4</v>
      </c>
      <c r="E45" s="979">
        <v>9</v>
      </c>
      <c r="F45" s="979">
        <v>15.055</v>
      </c>
      <c r="G45" s="979">
        <f>G43</f>
        <v>0.12</v>
      </c>
      <c r="H45" s="979">
        <f>F45*G45*D45*C45</f>
        <v>7.2263999999999999</v>
      </c>
      <c r="I45" s="979">
        <f>E45*G45*D45*C45</f>
        <v>4.32</v>
      </c>
      <c r="J45" s="979">
        <f>F45*D45*C45</f>
        <v>60.22</v>
      </c>
      <c r="K45" s="975"/>
      <c r="L45" s="979">
        <v>3</v>
      </c>
      <c r="M45" s="979">
        <v>3</v>
      </c>
      <c r="N45" s="980">
        <v>10</v>
      </c>
      <c r="O45" s="980">
        <v>10</v>
      </c>
      <c r="P45" s="981">
        <f>P42</f>
        <v>0.35</v>
      </c>
      <c r="Q45" s="981">
        <f>Q42</f>
        <v>0.3</v>
      </c>
      <c r="R45" s="982">
        <f>(M45/P45)+1</f>
        <v>9.5714285714285712</v>
      </c>
      <c r="S45" s="982">
        <f>(L45/Q45)+1</f>
        <v>11</v>
      </c>
      <c r="T45" s="982">
        <v>2</v>
      </c>
      <c r="U45" s="982">
        <v>3</v>
      </c>
      <c r="V45" s="979">
        <f>(T45*40*N45/1000)</f>
        <v>0.8</v>
      </c>
      <c r="W45" s="979">
        <f>(U45*40*O45/1000)</f>
        <v>1.2</v>
      </c>
      <c r="X45" s="979">
        <f>(L45+V45)+(2*6*N45/1000)-(2*0.03)</f>
        <v>3.86</v>
      </c>
      <c r="Y45" s="979">
        <f>(M45+W45)+(2*6*O45/1000)-(2*0.03)</f>
        <v>4.2600000000000007</v>
      </c>
      <c r="Z45" s="979">
        <f>X45*R45*D45*C45*2</f>
        <v>295.56571428571425</v>
      </c>
      <c r="AA45" s="979">
        <f>Y45*S45*D45*C45*2</f>
        <v>374.88000000000005</v>
      </c>
      <c r="AB45" s="983">
        <f>N45*N45*0.074/12</f>
        <v>0.61666666666666659</v>
      </c>
      <c r="AC45" s="983">
        <f>O45*O45*0.074/12</f>
        <v>0.61666666666666659</v>
      </c>
      <c r="AD45" s="979">
        <f>Z45*AB45</f>
        <v>182.26552380952376</v>
      </c>
      <c r="AE45" s="979">
        <f>AA45*AC45</f>
        <v>231.17599999999999</v>
      </c>
      <c r="AF45" s="982"/>
    </row>
    <row r="46" spans="1:32">
      <c r="A46" s="976">
        <v>2</v>
      </c>
      <c r="B46" s="976" t="s">
        <v>1241</v>
      </c>
      <c r="C46" s="978">
        <v>1</v>
      </c>
      <c r="D46" s="978">
        <v>4</v>
      </c>
      <c r="E46" s="979">
        <v>3</v>
      </c>
      <c r="F46" s="979">
        <v>8</v>
      </c>
      <c r="G46" s="979">
        <f>G42</f>
        <v>0.12</v>
      </c>
      <c r="H46" s="979">
        <f t="shared" ref="H46" si="16">F46*G46*D46*C46</f>
        <v>3.84</v>
      </c>
      <c r="I46" s="979">
        <f t="shared" ref="I46" si="17">E46*G46*D46*C46</f>
        <v>1.44</v>
      </c>
      <c r="J46" s="979">
        <f t="shared" ref="J46" si="18">F46*D46*C46</f>
        <v>32</v>
      </c>
      <c r="K46" s="975"/>
      <c r="L46" s="979">
        <v>3</v>
      </c>
      <c r="M46" s="979">
        <v>3</v>
      </c>
      <c r="N46" s="980">
        <v>10</v>
      </c>
      <c r="O46" s="980">
        <v>10</v>
      </c>
      <c r="P46" s="981">
        <f>P45</f>
        <v>0.35</v>
      </c>
      <c r="Q46" s="981">
        <f>Q45</f>
        <v>0.3</v>
      </c>
      <c r="R46" s="982">
        <f t="shared" ref="R46" si="19">(M46/P46)+1</f>
        <v>9.5714285714285712</v>
      </c>
      <c r="S46" s="982">
        <f t="shared" ref="S46" si="20">(L46/Q46)+1</f>
        <v>11</v>
      </c>
      <c r="T46" s="982">
        <v>2</v>
      </c>
      <c r="U46" s="982">
        <v>3</v>
      </c>
      <c r="V46" s="979">
        <f t="shared" ref="V46:W46" si="21">(T46*40*N46/1000)</f>
        <v>0.8</v>
      </c>
      <c r="W46" s="979">
        <f t="shared" si="21"/>
        <v>1.2</v>
      </c>
      <c r="X46" s="979">
        <f t="shared" ref="X46:Y46" si="22">(L46+V46)+(2*6*N46/1000)-(2*0.03)</f>
        <v>3.86</v>
      </c>
      <c r="Y46" s="979">
        <f t="shared" si="22"/>
        <v>4.2600000000000007</v>
      </c>
      <c r="Z46" s="979">
        <f t="shared" ref="Z46" si="23">X46*R46*D46*C46*2</f>
        <v>295.56571428571425</v>
      </c>
      <c r="AA46" s="979">
        <f t="shared" ref="AA46" si="24">Y46*S46*D46*C46*2</f>
        <v>374.88000000000005</v>
      </c>
      <c r="AB46" s="983">
        <f t="shared" ref="AB46:AC46" si="25">N46*N46*0.074/12</f>
        <v>0.61666666666666659</v>
      </c>
      <c r="AC46" s="983">
        <f t="shared" si="25"/>
        <v>0.61666666666666659</v>
      </c>
      <c r="AD46" s="979">
        <f t="shared" ref="AD46:AE46" si="26">Z46*AB46</f>
        <v>182.26552380952376</v>
      </c>
      <c r="AE46" s="979">
        <f t="shared" si="26"/>
        <v>231.17599999999999</v>
      </c>
      <c r="AF46" s="982"/>
    </row>
    <row r="47" spans="1:32">
      <c r="A47" s="988" t="str">
        <f>A36</f>
        <v>Total</v>
      </c>
      <c r="B47" s="989"/>
      <c r="C47" s="989"/>
      <c r="D47" s="989"/>
      <c r="E47" s="989"/>
      <c r="F47" s="989"/>
      <c r="G47" s="989"/>
      <c r="H47" s="990">
        <f>(SUM(H42:H42))-(SUM(H45:H46))</f>
        <v>26.757599999999996</v>
      </c>
      <c r="I47" s="990">
        <f>I36</f>
        <v>25.152000000000001</v>
      </c>
      <c r="J47" s="991">
        <f>(SUM(J42:J42))-(SUM(J45:J46))</f>
        <v>222.98</v>
      </c>
      <c r="K47" s="444"/>
      <c r="L47" s="818" t="str">
        <f>L36</f>
        <v>Total</v>
      </c>
      <c r="M47" s="818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818"/>
      <c r="Z47" s="818"/>
      <c r="AA47" s="818"/>
      <c r="AB47" s="818"/>
      <c r="AC47" s="818"/>
      <c r="AD47" s="845">
        <f>(SUM(AD42:AD42))-(SUM(AD45:AD46))</f>
        <v>678.24876190476198</v>
      </c>
      <c r="AE47" s="845">
        <f>(SUM(AE42:AE42))-(SUM(AE45:AE46))</f>
        <v>801.53511111111072</v>
      </c>
      <c r="AF47" s="840">
        <f>SUM(AD47:AE47)/H47</f>
        <v>55.303310947763364</v>
      </c>
    </row>
    <row r="48" spans="1:32">
      <c r="A48" s="819" t="s">
        <v>66</v>
      </c>
      <c r="B48" s="819" t="s">
        <v>1208</v>
      </c>
      <c r="C48" s="837" t="s">
        <v>1209</v>
      </c>
      <c r="D48" s="837" t="s">
        <v>1210</v>
      </c>
      <c r="E48" s="818" t="s">
        <v>1211</v>
      </c>
      <c r="F48" s="818"/>
      <c r="G48" s="818"/>
      <c r="H48" s="818" t="s">
        <v>1212</v>
      </c>
      <c r="I48" s="818" t="s">
        <v>1213</v>
      </c>
      <c r="J48" s="818"/>
      <c r="K48" s="967"/>
      <c r="L48" s="818" t="s">
        <v>1211</v>
      </c>
      <c r="M48" s="818"/>
      <c r="N48" s="828" t="s">
        <v>1214</v>
      </c>
      <c r="O48" s="828"/>
      <c r="P48" s="968" t="s">
        <v>1215</v>
      </c>
      <c r="Q48" s="968"/>
      <c r="R48" s="825" t="s">
        <v>1216</v>
      </c>
      <c r="S48" s="825"/>
      <c r="T48" s="825" t="s">
        <v>1217</v>
      </c>
      <c r="U48" s="825"/>
      <c r="V48" s="818" t="s">
        <v>1218</v>
      </c>
      <c r="W48" s="818"/>
      <c r="X48" s="818" t="s">
        <v>1219</v>
      </c>
      <c r="Y48" s="818"/>
      <c r="Z48" s="818" t="s">
        <v>1220</v>
      </c>
      <c r="AA48" s="818"/>
      <c r="AB48" s="833" t="s">
        <v>1221</v>
      </c>
      <c r="AC48" s="833"/>
      <c r="AD48" s="818" t="s">
        <v>1222</v>
      </c>
      <c r="AE48" s="818"/>
      <c r="AF48" s="840" t="s">
        <v>998</v>
      </c>
    </row>
    <row r="49" spans="1:32">
      <c r="A49" s="819"/>
      <c r="B49" s="819"/>
      <c r="C49" s="819" t="s">
        <v>1223</v>
      </c>
      <c r="D49" s="819" t="s">
        <v>1224</v>
      </c>
      <c r="E49" s="845" t="s">
        <v>1007</v>
      </c>
      <c r="F49" s="845" t="s">
        <v>1225</v>
      </c>
      <c r="G49" s="845" t="s">
        <v>1226</v>
      </c>
      <c r="H49" s="818"/>
      <c r="I49" s="845" t="s">
        <v>1227</v>
      </c>
      <c r="J49" s="845" t="s">
        <v>1228</v>
      </c>
      <c r="K49" s="967"/>
      <c r="L49" s="845" t="s">
        <v>1229</v>
      </c>
      <c r="M49" s="845" t="s">
        <v>1230</v>
      </c>
      <c r="N49" s="843" t="s">
        <v>494</v>
      </c>
      <c r="O49" s="843" t="s">
        <v>1012</v>
      </c>
      <c r="P49" s="969" t="s">
        <v>494</v>
      </c>
      <c r="Q49" s="969" t="s">
        <v>1012</v>
      </c>
      <c r="R49" s="840" t="s">
        <v>494</v>
      </c>
      <c r="S49" s="840" t="s">
        <v>1012</v>
      </c>
      <c r="T49" s="840" t="s">
        <v>494</v>
      </c>
      <c r="U49" s="840" t="s">
        <v>1012</v>
      </c>
      <c r="V49" s="818" t="s">
        <v>1231</v>
      </c>
      <c r="W49" s="818"/>
      <c r="X49" s="845" t="s">
        <v>494</v>
      </c>
      <c r="Y49" s="845" t="s">
        <v>1012</v>
      </c>
      <c r="Z49" s="845" t="s">
        <v>494</v>
      </c>
      <c r="AA49" s="845" t="s">
        <v>1012</v>
      </c>
      <c r="AB49" s="970" t="s">
        <v>494</v>
      </c>
      <c r="AC49" s="970" t="s">
        <v>1012</v>
      </c>
      <c r="AD49" s="845" t="s">
        <v>494</v>
      </c>
      <c r="AE49" s="845" t="s">
        <v>1012</v>
      </c>
      <c r="AF49" s="825" t="s">
        <v>1011</v>
      </c>
    </row>
    <row r="50" spans="1:32">
      <c r="A50" s="819"/>
      <c r="B50" s="819"/>
      <c r="C50" s="819"/>
      <c r="D50" s="819"/>
      <c r="E50" s="845" t="s">
        <v>151</v>
      </c>
      <c r="F50" s="845" t="s">
        <v>1015</v>
      </c>
      <c r="G50" s="845" t="s">
        <v>151</v>
      </c>
      <c r="H50" s="845" t="s">
        <v>1014</v>
      </c>
      <c r="I50" s="845" t="s">
        <v>1015</v>
      </c>
      <c r="J50" s="845" t="s">
        <v>1015</v>
      </c>
      <c r="K50" s="967"/>
      <c r="L50" s="818" t="s">
        <v>151</v>
      </c>
      <c r="M50" s="818"/>
      <c r="N50" s="828" t="s">
        <v>1016</v>
      </c>
      <c r="O50" s="828"/>
      <c r="P50" s="968" t="s">
        <v>151</v>
      </c>
      <c r="Q50" s="968"/>
      <c r="R50" s="825" t="s">
        <v>34</v>
      </c>
      <c r="S50" s="825"/>
      <c r="T50" s="825" t="s">
        <v>34</v>
      </c>
      <c r="U50" s="825"/>
      <c r="V50" s="845" t="s">
        <v>494</v>
      </c>
      <c r="W50" s="845" t="s">
        <v>1012</v>
      </c>
      <c r="X50" s="818" t="s">
        <v>151</v>
      </c>
      <c r="Y50" s="818"/>
      <c r="Z50" s="818" t="s">
        <v>151</v>
      </c>
      <c r="AA50" s="818"/>
      <c r="AB50" s="833" t="s">
        <v>1017</v>
      </c>
      <c r="AC50" s="833"/>
      <c r="AD50" s="818" t="s">
        <v>7</v>
      </c>
      <c r="AE50" s="818"/>
      <c r="AF50" s="825"/>
    </row>
    <row r="51" spans="1:32">
      <c r="A51" s="971" t="s">
        <v>1243</v>
      </c>
      <c r="B51" s="986" t="s">
        <v>1244</v>
      </c>
      <c r="C51" s="837"/>
      <c r="D51" s="837"/>
      <c r="E51" s="845"/>
      <c r="F51" s="845"/>
      <c r="G51" s="845"/>
      <c r="H51" s="845"/>
      <c r="I51" s="845"/>
      <c r="J51" s="845"/>
      <c r="K51" s="444"/>
      <c r="L51" s="973" t="str">
        <f>A51</f>
        <v>C</v>
      </c>
      <c r="M51" s="974" t="str">
        <f>B51</f>
        <v>Slab Lantai 2</v>
      </c>
      <c r="N51" s="843"/>
      <c r="O51" s="843"/>
      <c r="P51" s="969"/>
      <c r="Q51" s="969"/>
      <c r="R51" s="840"/>
      <c r="S51" s="840"/>
      <c r="T51" s="840"/>
      <c r="U51" s="840"/>
      <c r="V51" s="845"/>
      <c r="W51" s="845"/>
      <c r="X51" s="845"/>
      <c r="Y51" s="845"/>
      <c r="Z51" s="845"/>
      <c r="AA51" s="845"/>
      <c r="AB51" s="970"/>
      <c r="AC51" s="970"/>
      <c r="AD51" s="845"/>
      <c r="AE51" s="845"/>
      <c r="AF51" s="840"/>
    </row>
    <row r="52" spans="1:32">
      <c r="A52" s="975">
        <v>1</v>
      </c>
      <c r="B52" s="975" t="s">
        <v>1239</v>
      </c>
      <c r="C52" s="837">
        <v>1</v>
      </c>
      <c r="D52" s="837">
        <v>4</v>
      </c>
      <c r="E52" s="845">
        <f>E62</f>
        <v>45</v>
      </c>
      <c r="F52" s="845">
        <f>F62</f>
        <v>0</v>
      </c>
      <c r="G52" s="845">
        <v>0.12</v>
      </c>
      <c r="H52" s="845">
        <f>F52*G52*D52*C52</f>
        <v>0</v>
      </c>
      <c r="I52" s="845">
        <f>E52*G52*D52*C52</f>
        <v>21.599999999999998</v>
      </c>
      <c r="J52" s="845">
        <f>F52*D52*C52</f>
        <v>0</v>
      </c>
      <c r="K52" s="444"/>
      <c r="L52" s="845">
        <v>8</v>
      </c>
      <c r="M52" s="845">
        <v>8</v>
      </c>
      <c r="N52" s="843">
        <v>10</v>
      </c>
      <c r="O52" s="843">
        <v>10</v>
      </c>
      <c r="P52" s="969">
        <v>0.35</v>
      </c>
      <c r="Q52" s="969">
        <v>0.3</v>
      </c>
      <c r="R52" s="840">
        <f>(M52/P52)+1</f>
        <v>23.857142857142858</v>
      </c>
      <c r="S52" s="840">
        <f>(L52/Q52)+1</f>
        <v>27.666666666666668</v>
      </c>
      <c r="T52" s="840">
        <v>2</v>
      </c>
      <c r="U52" s="840">
        <v>3</v>
      </c>
      <c r="V52" s="845">
        <f>(T52*40*N52/1000)</f>
        <v>0.8</v>
      </c>
      <c r="W52" s="845">
        <f>(U52*40*O52/1000)</f>
        <v>1.2</v>
      </c>
      <c r="X52" s="845">
        <f>(L52+V52)+(2*6*N52/1000)-(2*0.03)</f>
        <v>8.86</v>
      </c>
      <c r="Y52" s="845">
        <f>(M52+W52)+(2*6*O52/1000)-(2*0.03)</f>
        <v>9.259999999999998</v>
      </c>
      <c r="Z52" s="845">
        <f>X52*R52*D52*C52*2</f>
        <v>1690.9942857142858</v>
      </c>
      <c r="AA52" s="845">
        <f>Y52*S52*D52*C52*2</f>
        <v>2049.5466666666662</v>
      </c>
      <c r="AB52" s="970">
        <f>N52*N52*0.074/12</f>
        <v>0.61666666666666659</v>
      </c>
      <c r="AC52" s="970">
        <f>O52*O52*0.074/12</f>
        <v>0.61666666666666659</v>
      </c>
      <c r="AD52" s="845">
        <f>Z52*AB52</f>
        <v>1042.7798095238095</v>
      </c>
      <c r="AE52" s="845">
        <f>AA52*AC52</f>
        <v>1263.8871111111107</v>
      </c>
      <c r="AF52" s="840" t="e">
        <f>SUM(AD52:AE52)/H52</f>
        <v>#DIV/0!</v>
      </c>
    </row>
    <row r="53" spans="1:32">
      <c r="A53" s="975"/>
      <c r="B53" s="975"/>
      <c r="C53" s="837"/>
      <c r="D53" s="837"/>
      <c r="E53" s="845"/>
      <c r="F53" s="845"/>
      <c r="G53" s="845"/>
      <c r="H53" s="845"/>
      <c r="I53" s="845"/>
      <c r="J53" s="845"/>
      <c r="K53" s="444"/>
      <c r="L53" s="845"/>
      <c r="M53" s="845"/>
      <c r="N53" s="843"/>
      <c r="O53" s="843"/>
      <c r="P53" s="969"/>
      <c r="Q53" s="969"/>
      <c r="R53" s="840"/>
      <c r="S53" s="840"/>
      <c r="T53" s="840"/>
      <c r="U53" s="840"/>
      <c r="V53" s="845"/>
      <c r="W53" s="845"/>
      <c r="X53" s="845"/>
      <c r="Y53" s="845"/>
      <c r="Z53" s="845"/>
      <c r="AA53" s="845"/>
      <c r="AB53" s="970"/>
      <c r="AC53" s="970"/>
      <c r="AD53" s="845"/>
      <c r="AE53" s="845"/>
      <c r="AF53" s="840"/>
    </row>
    <row r="54" spans="1:32">
      <c r="A54" s="975"/>
      <c r="B54" s="976" t="s">
        <v>1235</v>
      </c>
      <c r="C54" s="837"/>
      <c r="D54" s="837"/>
      <c r="E54" s="845"/>
      <c r="F54" s="845"/>
      <c r="G54" s="845"/>
      <c r="H54" s="845"/>
      <c r="I54" s="845"/>
      <c r="J54" s="845"/>
      <c r="K54" s="444"/>
      <c r="L54" s="977" t="s">
        <v>1236</v>
      </c>
      <c r="M54" s="845"/>
      <c r="N54" s="843"/>
      <c r="O54" s="843"/>
      <c r="P54" s="969"/>
      <c r="Q54" s="969"/>
      <c r="R54" s="840"/>
      <c r="S54" s="840"/>
      <c r="T54" s="840"/>
      <c r="U54" s="840"/>
      <c r="V54" s="845"/>
      <c r="W54" s="845"/>
      <c r="X54" s="845"/>
      <c r="Y54" s="845"/>
      <c r="Z54" s="845"/>
      <c r="AA54" s="845"/>
      <c r="AB54" s="970"/>
      <c r="AC54" s="970"/>
      <c r="AD54" s="845"/>
      <c r="AE54" s="845"/>
      <c r="AF54" s="840"/>
    </row>
    <row r="55" spans="1:32">
      <c r="A55" s="976">
        <v>1</v>
      </c>
      <c r="B55" s="976" t="s">
        <v>1237</v>
      </c>
      <c r="C55" s="978">
        <v>1</v>
      </c>
      <c r="D55" s="978">
        <v>4</v>
      </c>
      <c r="E55" s="979">
        <v>9</v>
      </c>
      <c r="F55" s="979">
        <v>15.055</v>
      </c>
      <c r="G55" s="979">
        <f>G52</f>
        <v>0.12</v>
      </c>
      <c r="H55" s="979">
        <f>F55*G55*D55*C55</f>
        <v>7.2263999999999999</v>
      </c>
      <c r="I55" s="979">
        <f>E55*G55*D55*C55</f>
        <v>4.32</v>
      </c>
      <c r="J55" s="979">
        <f>F55*D55*C55</f>
        <v>60.22</v>
      </c>
      <c r="K55" s="444"/>
      <c r="L55" s="979">
        <v>3</v>
      </c>
      <c r="M55" s="979">
        <v>3</v>
      </c>
      <c r="N55" s="980">
        <v>10</v>
      </c>
      <c r="O55" s="980">
        <v>10</v>
      </c>
      <c r="P55" s="981">
        <f>P52</f>
        <v>0.35</v>
      </c>
      <c r="Q55" s="981">
        <f>Q52</f>
        <v>0.3</v>
      </c>
      <c r="R55" s="982">
        <f>(M55/P55)+1</f>
        <v>9.5714285714285712</v>
      </c>
      <c r="S55" s="982">
        <f>(L55/Q55)+1</f>
        <v>11</v>
      </c>
      <c r="T55" s="982">
        <v>2</v>
      </c>
      <c r="U55" s="982">
        <v>3</v>
      </c>
      <c r="V55" s="979">
        <f>(T55*40*N55/1000)</f>
        <v>0.8</v>
      </c>
      <c r="W55" s="979">
        <f>(U55*40*O55/1000)</f>
        <v>1.2</v>
      </c>
      <c r="X55" s="979">
        <f>(L55+V55)+(2*6*N55/1000)-(2*0.03)</f>
        <v>3.86</v>
      </c>
      <c r="Y55" s="979">
        <f>(M55+W55)+(2*6*O55/1000)-(2*0.03)</f>
        <v>4.2600000000000007</v>
      </c>
      <c r="Z55" s="979">
        <f>X55*R55*D55*C55*2</f>
        <v>295.56571428571425</v>
      </c>
      <c r="AA55" s="979">
        <f>Y55*S55*D55*C55*2</f>
        <v>374.88000000000005</v>
      </c>
      <c r="AB55" s="983">
        <f>N55*N55*0.074/12</f>
        <v>0.61666666666666659</v>
      </c>
      <c r="AC55" s="983">
        <f>O55*O55*0.074/12</f>
        <v>0.61666666666666659</v>
      </c>
      <c r="AD55" s="979">
        <f>Z55*AB55</f>
        <v>182.26552380952376</v>
      </c>
      <c r="AE55" s="979">
        <f>AA55*AC55</f>
        <v>231.17599999999999</v>
      </c>
      <c r="AF55" s="982"/>
    </row>
    <row r="56" spans="1:32">
      <c r="A56" s="976">
        <v>2</v>
      </c>
      <c r="B56" s="976" t="s">
        <v>1241</v>
      </c>
      <c r="C56" s="978">
        <v>1</v>
      </c>
      <c r="D56" s="978">
        <v>4</v>
      </c>
      <c r="E56" s="979">
        <v>3</v>
      </c>
      <c r="F56" s="979">
        <v>8</v>
      </c>
      <c r="G56" s="979">
        <f>G52</f>
        <v>0.12</v>
      </c>
      <c r="H56" s="979">
        <f t="shared" ref="H56" si="27">F56*G56*D56*C56</f>
        <v>3.84</v>
      </c>
      <c r="I56" s="979">
        <f t="shared" ref="I56" si="28">E56*G56*D56*C56</f>
        <v>1.44</v>
      </c>
      <c r="J56" s="979">
        <f t="shared" ref="J56" si="29">F56*D56*C56</f>
        <v>32</v>
      </c>
      <c r="K56" s="444"/>
      <c r="L56" s="979">
        <v>3</v>
      </c>
      <c r="M56" s="979">
        <v>3</v>
      </c>
      <c r="N56" s="980">
        <v>10</v>
      </c>
      <c r="O56" s="980">
        <v>10</v>
      </c>
      <c r="P56" s="981">
        <f>P55</f>
        <v>0.35</v>
      </c>
      <c r="Q56" s="981">
        <f>Q55</f>
        <v>0.3</v>
      </c>
      <c r="R56" s="982">
        <f t="shared" ref="R56" si="30">(M56/P56)+1</f>
        <v>9.5714285714285712</v>
      </c>
      <c r="S56" s="982">
        <f t="shared" ref="S56" si="31">(L56/Q56)+1</f>
        <v>11</v>
      </c>
      <c r="T56" s="982">
        <v>2</v>
      </c>
      <c r="U56" s="982">
        <v>3</v>
      </c>
      <c r="V56" s="979">
        <f t="shared" ref="V56:W56" si="32">(T56*40*N56/1000)</f>
        <v>0.8</v>
      </c>
      <c r="W56" s="979">
        <f t="shared" si="32"/>
        <v>1.2</v>
      </c>
      <c r="X56" s="979">
        <f t="shared" ref="X56:Y56" si="33">(L56+V56)+(2*6*N56/1000)-(2*0.03)</f>
        <v>3.86</v>
      </c>
      <c r="Y56" s="979">
        <f t="shared" si="33"/>
        <v>4.2600000000000007</v>
      </c>
      <c r="Z56" s="979">
        <f t="shared" ref="Z56" si="34">X56*R56*D56*C56*2</f>
        <v>295.56571428571425</v>
      </c>
      <c r="AA56" s="979">
        <f t="shared" ref="AA56" si="35">Y56*S56*D56*C56*2</f>
        <v>374.88000000000005</v>
      </c>
      <c r="AB56" s="983">
        <f t="shared" ref="AB56:AC56" si="36">N56*N56*0.074/12</f>
        <v>0.61666666666666659</v>
      </c>
      <c r="AC56" s="983">
        <f t="shared" si="36"/>
        <v>0.61666666666666659</v>
      </c>
      <c r="AD56" s="979">
        <f t="shared" ref="AD56:AE56" si="37">Z56*AB56</f>
        <v>182.26552380952376</v>
      </c>
      <c r="AE56" s="979">
        <f t="shared" si="37"/>
        <v>231.17599999999999</v>
      </c>
      <c r="AF56" s="982"/>
    </row>
    <row r="57" spans="1:32">
      <c r="A57" s="992" t="str">
        <f>A47</f>
        <v>Total</v>
      </c>
      <c r="B57" s="993"/>
      <c r="C57" s="993"/>
      <c r="D57" s="993"/>
      <c r="E57" s="993"/>
      <c r="F57" s="993"/>
      <c r="G57" s="993"/>
      <c r="H57" s="994">
        <f>(SUM(H52:H52))-(SUM(H55:H56))</f>
        <v>-11.0664</v>
      </c>
      <c r="I57" s="994">
        <f>I52-I55-I56</f>
        <v>15.839999999999998</v>
      </c>
      <c r="J57" s="995">
        <f>(SUM(J52:J52))-(SUM(J55:J56))</f>
        <v>-92.22</v>
      </c>
      <c r="K57" s="444"/>
      <c r="L57" s="818" t="str">
        <f>L47</f>
        <v>Total</v>
      </c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8"/>
      <c r="AB57" s="818"/>
      <c r="AC57" s="818"/>
      <c r="AD57" s="845">
        <f>(SUM(AD52:AD52))-(SUM(AD55:AD56))</f>
        <v>678.24876190476198</v>
      </c>
      <c r="AE57" s="845">
        <f>(SUM(AE52:AE52))-(SUM(AE55:AE56))</f>
        <v>801.53511111111072</v>
      </c>
      <c r="AF57" s="840">
        <f>SUM(AD57:AE57)/H57</f>
        <v>-133.7186323479969</v>
      </c>
    </row>
    <row r="58" spans="1:32">
      <c r="A58" s="819" t="s">
        <v>66</v>
      </c>
      <c r="B58" s="819" t="s">
        <v>1208</v>
      </c>
      <c r="C58" s="837" t="s">
        <v>1209</v>
      </c>
      <c r="D58" s="837" t="s">
        <v>1210</v>
      </c>
      <c r="E58" s="818" t="s">
        <v>1211</v>
      </c>
      <c r="F58" s="818"/>
      <c r="G58" s="818"/>
      <c r="H58" s="818" t="s">
        <v>1212</v>
      </c>
      <c r="I58" s="818" t="s">
        <v>1213</v>
      </c>
      <c r="J58" s="818"/>
      <c r="K58" s="967"/>
      <c r="L58" s="818" t="s">
        <v>1211</v>
      </c>
      <c r="M58" s="818"/>
      <c r="N58" s="828" t="s">
        <v>1214</v>
      </c>
      <c r="O58" s="828"/>
      <c r="P58" s="968" t="s">
        <v>1215</v>
      </c>
      <c r="Q58" s="968"/>
      <c r="R58" s="825" t="s">
        <v>1216</v>
      </c>
      <c r="S58" s="825"/>
      <c r="T58" s="825" t="s">
        <v>1217</v>
      </c>
      <c r="U58" s="825"/>
      <c r="V58" s="818" t="s">
        <v>1218</v>
      </c>
      <c r="W58" s="818"/>
      <c r="X58" s="818" t="s">
        <v>1219</v>
      </c>
      <c r="Y58" s="818"/>
      <c r="Z58" s="818" t="s">
        <v>1220</v>
      </c>
      <c r="AA58" s="818"/>
      <c r="AB58" s="833" t="s">
        <v>1221</v>
      </c>
      <c r="AC58" s="833"/>
      <c r="AD58" s="818" t="s">
        <v>1222</v>
      </c>
      <c r="AE58" s="818"/>
      <c r="AF58" s="840" t="s">
        <v>998</v>
      </c>
    </row>
    <row r="59" spans="1:32">
      <c r="A59" s="819"/>
      <c r="B59" s="819"/>
      <c r="C59" s="819" t="s">
        <v>1223</v>
      </c>
      <c r="D59" s="819" t="s">
        <v>1224</v>
      </c>
      <c r="E59" s="845" t="s">
        <v>1007</v>
      </c>
      <c r="F59" s="845" t="s">
        <v>1225</v>
      </c>
      <c r="G59" s="845" t="s">
        <v>1226</v>
      </c>
      <c r="H59" s="818"/>
      <c r="I59" s="845" t="s">
        <v>1227</v>
      </c>
      <c r="J59" s="845" t="s">
        <v>1228</v>
      </c>
      <c r="K59" s="967"/>
      <c r="L59" s="845" t="s">
        <v>1229</v>
      </c>
      <c r="M59" s="845" t="s">
        <v>1230</v>
      </c>
      <c r="N59" s="843" t="s">
        <v>494</v>
      </c>
      <c r="O59" s="843" t="s">
        <v>1012</v>
      </c>
      <c r="P59" s="969" t="s">
        <v>494</v>
      </c>
      <c r="Q59" s="969" t="s">
        <v>1012</v>
      </c>
      <c r="R59" s="840" t="s">
        <v>494</v>
      </c>
      <c r="S59" s="840" t="s">
        <v>1012</v>
      </c>
      <c r="T59" s="840" t="s">
        <v>494</v>
      </c>
      <c r="U59" s="840" t="s">
        <v>1012</v>
      </c>
      <c r="V59" s="818" t="s">
        <v>1231</v>
      </c>
      <c r="W59" s="818"/>
      <c r="X59" s="845" t="s">
        <v>494</v>
      </c>
      <c r="Y59" s="845" t="s">
        <v>1012</v>
      </c>
      <c r="Z59" s="845" t="s">
        <v>494</v>
      </c>
      <c r="AA59" s="845" t="s">
        <v>1012</v>
      </c>
      <c r="AB59" s="970" t="s">
        <v>494</v>
      </c>
      <c r="AC59" s="970" t="s">
        <v>1012</v>
      </c>
      <c r="AD59" s="845" t="s">
        <v>494</v>
      </c>
      <c r="AE59" s="845" t="s">
        <v>1012</v>
      </c>
      <c r="AF59" s="825" t="s">
        <v>1011</v>
      </c>
    </row>
    <row r="60" spans="1:32">
      <c r="A60" s="819"/>
      <c r="B60" s="819"/>
      <c r="C60" s="819"/>
      <c r="D60" s="819"/>
      <c r="E60" s="845" t="s">
        <v>151</v>
      </c>
      <c r="F60" s="845" t="s">
        <v>1015</v>
      </c>
      <c r="G60" s="845" t="s">
        <v>151</v>
      </c>
      <c r="H60" s="845" t="s">
        <v>1014</v>
      </c>
      <c r="I60" s="845" t="s">
        <v>1015</v>
      </c>
      <c r="J60" s="845" t="s">
        <v>1015</v>
      </c>
      <c r="K60" s="967"/>
      <c r="L60" s="818" t="s">
        <v>151</v>
      </c>
      <c r="M60" s="818"/>
      <c r="N60" s="828" t="s">
        <v>1016</v>
      </c>
      <c r="O60" s="828"/>
      <c r="P60" s="968" t="s">
        <v>151</v>
      </c>
      <c r="Q60" s="968"/>
      <c r="R60" s="825" t="s">
        <v>34</v>
      </c>
      <c r="S60" s="825"/>
      <c r="T60" s="825" t="s">
        <v>34</v>
      </c>
      <c r="U60" s="825"/>
      <c r="V60" s="845" t="s">
        <v>494</v>
      </c>
      <c r="W60" s="845" t="s">
        <v>1012</v>
      </c>
      <c r="X60" s="818" t="s">
        <v>151</v>
      </c>
      <c r="Y60" s="818"/>
      <c r="Z60" s="818" t="s">
        <v>151</v>
      </c>
      <c r="AA60" s="818"/>
      <c r="AB60" s="833" t="s">
        <v>1017</v>
      </c>
      <c r="AC60" s="833"/>
      <c r="AD60" s="818" t="s">
        <v>7</v>
      </c>
      <c r="AE60" s="818"/>
      <c r="AF60" s="825"/>
    </row>
    <row r="61" spans="1:32">
      <c r="A61" s="971" t="s">
        <v>1245</v>
      </c>
      <c r="B61" s="986" t="s">
        <v>1246</v>
      </c>
      <c r="C61" s="837"/>
      <c r="D61" s="837"/>
      <c r="E61" s="845"/>
      <c r="F61" s="845"/>
      <c r="G61" s="845"/>
      <c r="H61" s="845"/>
      <c r="I61" s="845"/>
      <c r="J61" s="845"/>
      <c r="K61" s="444"/>
      <c r="L61" s="973" t="str">
        <f>A61</f>
        <v>D</v>
      </c>
      <c r="M61" s="974" t="str">
        <f>B61</f>
        <v>Slab Lantai 3-4</v>
      </c>
      <c r="N61" s="843"/>
      <c r="O61" s="843"/>
      <c r="P61" s="969"/>
      <c r="Q61" s="969"/>
      <c r="R61" s="840"/>
      <c r="S61" s="840"/>
      <c r="T61" s="840"/>
      <c r="U61" s="840"/>
      <c r="V61" s="845"/>
      <c r="W61" s="845"/>
      <c r="X61" s="845"/>
      <c r="Y61" s="845"/>
      <c r="Z61" s="845"/>
      <c r="AA61" s="845"/>
      <c r="AB61" s="970"/>
      <c r="AC61" s="970"/>
      <c r="AD61" s="845"/>
      <c r="AE61" s="845"/>
      <c r="AF61" s="840"/>
    </row>
    <row r="62" spans="1:32">
      <c r="A62" s="975">
        <v>1</v>
      </c>
      <c r="B62" s="975" t="s">
        <v>1239</v>
      </c>
      <c r="C62" s="837">
        <v>2</v>
      </c>
      <c r="D62" s="837">
        <v>4</v>
      </c>
      <c r="E62" s="845">
        <v>45</v>
      </c>
      <c r="F62" s="845">
        <f>AK65</f>
        <v>0</v>
      </c>
      <c r="G62" s="845">
        <v>0.12</v>
      </c>
      <c r="H62" s="845">
        <f>F62*G62*D62*C62</f>
        <v>0</v>
      </c>
      <c r="I62" s="845">
        <f>E62*G62*D62*C62</f>
        <v>43.199999999999996</v>
      </c>
      <c r="J62" s="845">
        <f>F62*D62*C62</f>
        <v>0</v>
      </c>
      <c r="K62" s="444"/>
      <c r="L62" s="845">
        <v>8</v>
      </c>
      <c r="M62" s="845">
        <v>8</v>
      </c>
      <c r="N62" s="843">
        <v>10</v>
      </c>
      <c r="O62" s="843">
        <v>10</v>
      </c>
      <c r="P62" s="969">
        <v>0.35</v>
      </c>
      <c r="Q62" s="969">
        <v>0.3</v>
      </c>
      <c r="R62" s="840">
        <f>(M62/P62)+1</f>
        <v>23.857142857142858</v>
      </c>
      <c r="S62" s="840">
        <f>(L62/Q62)+1</f>
        <v>27.666666666666668</v>
      </c>
      <c r="T62" s="840">
        <v>2</v>
      </c>
      <c r="U62" s="840">
        <v>3</v>
      </c>
      <c r="V62" s="845">
        <f>(T62*40*N62/1000)</f>
        <v>0.8</v>
      </c>
      <c r="W62" s="845">
        <f>(U62*40*O62/1000)</f>
        <v>1.2</v>
      </c>
      <c r="X62" s="845">
        <f>(L62+V62)+(2*6*N62/1000)-(2*0.03)</f>
        <v>8.86</v>
      </c>
      <c r="Y62" s="845">
        <f>(M62+W62)+(2*6*O62/1000)-(2*0.03)</f>
        <v>9.259999999999998</v>
      </c>
      <c r="Z62" s="845">
        <f>X62*R62*D62*C62*2</f>
        <v>3381.9885714285715</v>
      </c>
      <c r="AA62" s="845">
        <f>Y62*S62*D62*C62*2</f>
        <v>4099.0933333333323</v>
      </c>
      <c r="AB62" s="970">
        <f>N62*N62*0.074/12</f>
        <v>0.61666666666666659</v>
      </c>
      <c r="AC62" s="970">
        <f>O62*O62*0.074/12</f>
        <v>0.61666666666666659</v>
      </c>
      <c r="AD62" s="845">
        <f>Z62*AB62</f>
        <v>2085.559619047619</v>
      </c>
      <c r="AE62" s="845">
        <f>AA62*AC62</f>
        <v>2527.7742222222214</v>
      </c>
      <c r="AF62" s="840" t="e">
        <f>SUM(AD62:AE62)/H62</f>
        <v>#DIV/0!</v>
      </c>
    </row>
    <row r="63" spans="1:32">
      <c r="A63" s="975"/>
      <c r="B63" s="975"/>
      <c r="C63" s="837"/>
      <c r="D63" s="837"/>
      <c r="E63" s="845"/>
      <c r="F63" s="845"/>
      <c r="G63" s="845"/>
      <c r="H63" s="845"/>
      <c r="I63" s="845"/>
      <c r="J63" s="845"/>
      <c r="K63" s="444"/>
      <c r="L63" s="845"/>
      <c r="M63" s="845"/>
      <c r="N63" s="843"/>
      <c r="O63" s="843"/>
      <c r="P63" s="969"/>
      <c r="Q63" s="969"/>
      <c r="R63" s="840"/>
      <c r="S63" s="840"/>
      <c r="T63" s="840"/>
      <c r="U63" s="840"/>
      <c r="V63" s="845"/>
      <c r="W63" s="845"/>
      <c r="X63" s="845"/>
      <c r="Y63" s="845"/>
      <c r="Z63" s="845"/>
      <c r="AA63" s="845"/>
      <c r="AB63" s="970"/>
      <c r="AC63" s="970"/>
      <c r="AD63" s="845"/>
      <c r="AE63" s="845"/>
      <c r="AF63" s="840"/>
    </row>
    <row r="64" spans="1:32">
      <c r="A64" s="975"/>
      <c r="B64" s="976" t="s">
        <v>1235</v>
      </c>
      <c r="C64" s="837"/>
      <c r="D64" s="837"/>
      <c r="E64" s="845"/>
      <c r="F64" s="845"/>
      <c r="G64" s="845"/>
      <c r="H64" s="845"/>
      <c r="I64" s="845"/>
      <c r="J64" s="845"/>
      <c r="K64" s="444"/>
      <c r="L64" s="977" t="s">
        <v>1236</v>
      </c>
      <c r="M64" s="845"/>
      <c r="N64" s="843"/>
      <c r="O64" s="843"/>
      <c r="P64" s="969"/>
      <c r="Q64" s="969"/>
      <c r="R64" s="840"/>
      <c r="S64" s="840"/>
      <c r="T64" s="840"/>
      <c r="U64" s="840"/>
      <c r="V64" s="845"/>
      <c r="W64" s="845"/>
      <c r="X64" s="845"/>
      <c r="Y64" s="845"/>
      <c r="Z64" s="845"/>
      <c r="AA64" s="845"/>
      <c r="AB64" s="970"/>
      <c r="AC64" s="970"/>
      <c r="AD64" s="845"/>
      <c r="AE64" s="845"/>
      <c r="AF64" s="840"/>
    </row>
    <row r="65" spans="1:32">
      <c r="A65" s="976">
        <v>1</v>
      </c>
      <c r="B65" s="976" t="s">
        <v>1237</v>
      </c>
      <c r="C65" s="978">
        <v>2</v>
      </c>
      <c r="D65" s="978">
        <v>4</v>
      </c>
      <c r="E65" s="979">
        <v>9</v>
      </c>
      <c r="F65" s="979">
        <v>15.055</v>
      </c>
      <c r="G65" s="979">
        <v>0.12</v>
      </c>
      <c r="H65" s="979">
        <f>F65*G65*D65*C65</f>
        <v>14.4528</v>
      </c>
      <c r="I65" s="979">
        <f>E65*G65*D65*C65</f>
        <v>8.64</v>
      </c>
      <c r="J65" s="979">
        <f>F65*D65*C65</f>
        <v>120.44</v>
      </c>
      <c r="K65" s="444"/>
      <c r="L65" s="979">
        <v>3</v>
      </c>
      <c r="M65" s="979">
        <v>3</v>
      </c>
      <c r="N65" s="980">
        <v>10</v>
      </c>
      <c r="O65" s="980">
        <v>10</v>
      </c>
      <c r="P65" s="981">
        <f>P62</f>
        <v>0.35</v>
      </c>
      <c r="Q65" s="981">
        <f>Q62</f>
        <v>0.3</v>
      </c>
      <c r="R65" s="982">
        <f>(M65/P65)+1</f>
        <v>9.5714285714285712</v>
      </c>
      <c r="S65" s="982">
        <f>(L65/Q65)+1</f>
        <v>11</v>
      </c>
      <c r="T65" s="982">
        <v>2</v>
      </c>
      <c r="U65" s="982">
        <v>3</v>
      </c>
      <c r="V65" s="979">
        <f>(T65*40*N65/1000)</f>
        <v>0.8</v>
      </c>
      <c r="W65" s="979">
        <f>(U65*40*O65/1000)</f>
        <v>1.2</v>
      </c>
      <c r="X65" s="979">
        <f>(L65+V65)+(2*6*N65/1000)-(2*0.03)</f>
        <v>3.86</v>
      </c>
      <c r="Y65" s="979">
        <f>(M65+W65)+(2*6*O65/1000)-(2*0.03)</f>
        <v>4.2600000000000007</v>
      </c>
      <c r="Z65" s="979">
        <f>X65*R65*D65*C65*2</f>
        <v>591.1314285714285</v>
      </c>
      <c r="AA65" s="979">
        <f>Y65*S65*D65*C65*2</f>
        <v>749.7600000000001</v>
      </c>
      <c r="AB65" s="983">
        <f>N65*N65*0.074/12</f>
        <v>0.61666666666666659</v>
      </c>
      <c r="AC65" s="983">
        <f>O65*O65*0.074/12</f>
        <v>0.61666666666666659</v>
      </c>
      <c r="AD65" s="979">
        <f>Z65*AB65</f>
        <v>364.53104761904751</v>
      </c>
      <c r="AE65" s="979">
        <f>AA65*AC65</f>
        <v>462.35199999999998</v>
      </c>
      <c r="AF65" s="982"/>
    </row>
    <row r="66" spans="1:32">
      <c r="A66" s="976">
        <v>2</v>
      </c>
      <c r="B66" s="976" t="s">
        <v>1241</v>
      </c>
      <c r="C66" s="978">
        <v>2</v>
      </c>
      <c r="D66" s="978">
        <v>4</v>
      </c>
      <c r="E66" s="979">
        <v>3</v>
      </c>
      <c r="F66" s="979">
        <v>8</v>
      </c>
      <c r="G66" s="979">
        <f>G62</f>
        <v>0.12</v>
      </c>
      <c r="H66" s="979">
        <f t="shared" ref="H66" si="38">F66*G66*D66*C66</f>
        <v>7.68</v>
      </c>
      <c r="I66" s="979">
        <f t="shared" ref="I66" si="39">E66*G66*D66*C66</f>
        <v>2.88</v>
      </c>
      <c r="J66" s="979">
        <f t="shared" ref="J66" si="40">F66*D66*C66</f>
        <v>64</v>
      </c>
      <c r="K66" s="444"/>
      <c r="L66" s="979">
        <v>3</v>
      </c>
      <c r="M66" s="979">
        <v>3</v>
      </c>
      <c r="N66" s="980">
        <v>10</v>
      </c>
      <c r="O66" s="980">
        <v>10</v>
      </c>
      <c r="P66" s="981">
        <f>P65</f>
        <v>0.35</v>
      </c>
      <c r="Q66" s="981">
        <f>Q65</f>
        <v>0.3</v>
      </c>
      <c r="R66" s="982">
        <f t="shared" ref="R66" si="41">(M66/P66)+1</f>
        <v>9.5714285714285712</v>
      </c>
      <c r="S66" s="982">
        <f t="shared" ref="S66" si="42">(L66/Q66)+1</f>
        <v>11</v>
      </c>
      <c r="T66" s="982">
        <v>2</v>
      </c>
      <c r="U66" s="982">
        <v>3</v>
      </c>
      <c r="V66" s="979">
        <f t="shared" ref="V66:W66" si="43">(T66*40*N66/1000)</f>
        <v>0.8</v>
      </c>
      <c r="W66" s="979">
        <f t="shared" si="43"/>
        <v>1.2</v>
      </c>
      <c r="X66" s="979">
        <f t="shared" ref="X66:Y66" si="44">(L66+V66)+(2*6*N66/1000)-(2*0.03)</f>
        <v>3.86</v>
      </c>
      <c r="Y66" s="979">
        <f t="shared" si="44"/>
        <v>4.2600000000000007</v>
      </c>
      <c r="Z66" s="979">
        <f t="shared" ref="Z66" si="45">X66*R66*D66*C66*2</f>
        <v>591.1314285714285</v>
      </c>
      <c r="AA66" s="979">
        <f t="shared" ref="AA66" si="46">Y66*S66*D66*C66*2</f>
        <v>749.7600000000001</v>
      </c>
      <c r="AB66" s="983">
        <f t="shared" ref="AB66:AC66" si="47">N66*N66*0.074/12</f>
        <v>0.61666666666666659</v>
      </c>
      <c r="AC66" s="983">
        <f t="shared" si="47"/>
        <v>0.61666666666666659</v>
      </c>
      <c r="AD66" s="979">
        <f t="shared" ref="AD66:AE66" si="48">Z66*AB66</f>
        <v>364.53104761904751</v>
      </c>
      <c r="AE66" s="979">
        <f t="shared" si="48"/>
        <v>462.35199999999998</v>
      </c>
      <c r="AF66" s="982"/>
    </row>
    <row r="67" spans="1:32">
      <c r="A67" s="828" t="str">
        <f>A57</f>
        <v>Total</v>
      </c>
      <c r="B67" s="828"/>
      <c r="C67" s="828"/>
      <c r="D67" s="828"/>
      <c r="E67" s="828"/>
      <c r="F67" s="828"/>
      <c r="G67" s="828"/>
      <c r="H67" s="845">
        <f>(SUM(H62:H62))-(SUM(H65:H66))</f>
        <v>-22.1328</v>
      </c>
      <c r="I67" s="845">
        <f>I62-I65-I66</f>
        <v>31.679999999999996</v>
      </c>
      <c r="J67" s="845">
        <f>(SUM(J62:J62))-(SUM(J65:J66))</f>
        <v>-184.44</v>
      </c>
      <c r="K67" s="444"/>
      <c r="L67" s="818" t="str">
        <f>L57</f>
        <v>Total</v>
      </c>
      <c r="M67" s="818"/>
      <c r="N67" s="818"/>
      <c r="O67" s="818"/>
      <c r="P67" s="818"/>
      <c r="Q67" s="818"/>
      <c r="R67" s="818"/>
      <c r="S67" s="818"/>
      <c r="T67" s="818"/>
      <c r="U67" s="818"/>
      <c r="V67" s="818"/>
      <c r="W67" s="818"/>
      <c r="X67" s="818"/>
      <c r="Y67" s="818"/>
      <c r="Z67" s="818"/>
      <c r="AA67" s="818"/>
      <c r="AB67" s="818"/>
      <c r="AC67" s="818"/>
      <c r="AD67" s="845">
        <f>(SUM(AD62:AD62))-(SUM(AD65:AD66))</f>
        <v>1356.497523809524</v>
      </c>
      <c r="AE67" s="845">
        <f>(SUM(AE62:AE62))-(SUM(AE65:AE66))</f>
        <v>1603.0702222222214</v>
      </c>
      <c r="AF67" s="840">
        <f>SUM(AD67:AE67)/H67</f>
        <v>-133.7186323479969</v>
      </c>
    </row>
    <row r="68" spans="1:32">
      <c r="A68" s="819" t="s">
        <v>66</v>
      </c>
      <c r="B68" s="819" t="s">
        <v>1208</v>
      </c>
      <c r="C68" s="837" t="s">
        <v>1209</v>
      </c>
      <c r="D68" s="837" t="s">
        <v>1210</v>
      </c>
      <c r="E68" s="818" t="s">
        <v>1211</v>
      </c>
      <c r="F68" s="818"/>
      <c r="G68" s="818"/>
      <c r="H68" s="818" t="s">
        <v>1212</v>
      </c>
      <c r="I68" s="818" t="s">
        <v>1213</v>
      </c>
      <c r="J68" s="818"/>
      <c r="K68" s="967"/>
      <c r="L68" s="818" t="s">
        <v>1211</v>
      </c>
      <c r="M68" s="818"/>
      <c r="N68" s="828" t="s">
        <v>1214</v>
      </c>
      <c r="O68" s="828"/>
      <c r="P68" s="968" t="s">
        <v>1215</v>
      </c>
      <c r="Q68" s="968"/>
      <c r="R68" s="825" t="s">
        <v>1216</v>
      </c>
      <c r="S68" s="825"/>
      <c r="T68" s="825" t="s">
        <v>1217</v>
      </c>
      <c r="U68" s="825"/>
      <c r="V68" s="818" t="s">
        <v>1218</v>
      </c>
      <c r="W68" s="818"/>
      <c r="X68" s="818" t="s">
        <v>1219</v>
      </c>
      <c r="Y68" s="818"/>
      <c r="Z68" s="818" t="s">
        <v>1220</v>
      </c>
      <c r="AA68" s="818"/>
      <c r="AB68" s="833" t="s">
        <v>1221</v>
      </c>
      <c r="AC68" s="833"/>
      <c r="AD68" s="818" t="s">
        <v>1222</v>
      </c>
      <c r="AE68" s="818"/>
      <c r="AF68" s="840" t="s">
        <v>998</v>
      </c>
    </row>
    <row r="69" spans="1:32">
      <c r="A69" s="819"/>
      <c r="B69" s="819"/>
      <c r="C69" s="819" t="s">
        <v>1223</v>
      </c>
      <c r="D69" s="819" t="s">
        <v>1224</v>
      </c>
      <c r="E69" s="845" t="s">
        <v>1007</v>
      </c>
      <c r="F69" s="845" t="s">
        <v>1225</v>
      </c>
      <c r="G69" s="845" t="s">
        <v>1226</v>
      </c>
      <c r="H69" s="818"/>
      <c r="I69" s="845" t="s">
        <v>1227</v>
      </c>
      <c r="J69" s="845" t="s">
        <v>1228</v>
      </c>
      <c r="K69" s="967"/>
      <c r="L69" s="845" t="s">
        <v>1229</v>
      </c>
      <c r="M69" s="845" t="s">
        <v>1230</v>
      </c>
      <c r="N69" s="843" t="s">
        <v>494</v>
      </c>
      <c r="O69" s="843" t="s">
        <v>1012</v>
      </c>
      <c r="P69" s="969" t="s">
        <v>494</v>
      </c>
      <c r="Q69" s="969" t="s">
        <v>1012</v>
      </c>
      <c r="R69" s="840" t="s">
        <v>494</v>
      </c>
      <c r="S69" s="840" t="s">
        <v>1012</v>
      </c>
      <c r="T69" s="840" t="s">
        <v>494</v>
      </c>
      <c r="U69" s="840" t="s">
        <v>1012</v>
      </c>
      <c r="V69" s="818" t="s">
        <v>1231</v>
      </c>
      <c r="W69" s="818"/>
      <c r="X69" s="845" t="s">
        <v>494</v>
      </c>
      <c r="Y69" s="845" t="s">
        <v>1012</v>
      </c>
      <c r="Z69" s="845" t="s">
        <v>494</v>
      </c>
      <c r="AA69" s="845" t="s">
        <v>1012</v>
      </c>
      <c r="AB69" s="970" t="s">
        <v>494</v>
      </c>
      <c r="AC69" s="970" t="s">
        <v>1012</v>
      </c>
      <c r="AD69" s="845" t="s">
        <v>494</v>
      </c>
      <c r="AE69" s="845" t="s">
        <v>1012</v>
      </c>
      <c r="AF69" s="825" t="s">
        <v>1011</v>
      </c>
    </row>
    <row r="70" spans="1:32">
      <c r="A70" s="819"/>
      <c r="B70" s="819"/>
      <c r="C70" s="819"/>
      <c r="D70" s="819"/>
      <c r="E70" s="845" t="s">
        <v>151</v>
      </c>
      <c r="F70" s="845" t="s">
        <v>1015</v>
      </c>
      <c r="G70" s="845" t="s">
        <v>151</v>
      </c>
      <c r="H70" s="845" t="s">
        <v>1014</v>
      </c>
      <c r="I70" s="845" t="s">
        <v>1015</v>
      </c>
      <c r="J70" s="845" t="s">
        <v>1015</v>
      </c>
      <c r="K70" s="967"/>
      <c r="L70" s="818" t="s">
        <v>151</v>
      </c>
      <c r="M70" s="818"/>
      <c r="N70" s="828" t="s">
        <v>1016</v>
      </c>
      <c r="O70" s="828"/>
      <c r="P70" s="968" t="s">
        <v>151</v>
      </c>
      <c r="Q70" s="968"/>
      <c r="R70" s="825" t="s">
        <v>34</v>
      </c>
      <c r="S70" s="825"/>
      <c r="T70" s="825" t="s">
        <v>34</v>
      </c>
      <c r="U70" s="825"/>
      <c r="V70" s="845" t="s">
        <v>494</v>
      </c>
      <c r="W70" s="845" t="s">
        <v>1012</v>
      </c>
      <c r="X70" s="818" t="s">
        <v>151</v>
      </c>
      <c r="Y70" s="818"/>
      <c r="Z70" s="818" t="s">
        <v>151</v>
      </c>
      <c r="AA70" s="818"/>
      <c r="AB70" s="833" t="s">
        <v>1017</v>
      </c>
      <c r="AC70" s="833"/>
      <c r="AD70" s="818" t="s">
        <v>7</v>
      </c>
      <c r="AE70" s="818"/>
      <c r="AF70" s="825"/>
    </row>
    <row r="71" spans="1:32">
      <c r="A71" s="971">
        <v>5</v>
      </c>
      <c r="B71" s="986" t="s">
        <v>1247</v>
      </c>
      <c r="C71" s="837"/>
      <c r="D71" s="837"/>
      <c r="E71" s="845"/>
      <c r="F71" s="845"/>
      <c r="G71" s="845"/>
      <c r="H71" s="845"/>
      <c r="I71" s="845"/>
      <c r="J71" s="845"/>
      <c r="K71" s="444"/>
      <c r="L71" s="973">
        <f>A71</f>
        <v>5</v>
      </c>
      <c r="M71" s="974" t="str">
        <f>B71</f>
        <v>Slab Lantai 5-ATAP</v>
      </c>
      <c r="N71" s="843"/>
      <c r="O71" s="843"/>
      <c r="P71" s="969"/>
      <c r="Q71" s="969"/>
      <c r="R71" s="840"/>
      <c r="S71" s="840"/>
      <c r="T71" s="840"/>
      <c r="U71" s="840"/>
      <c r="V71" s="845"/>
      <c r="W71" s="845"/>
      <c r="X71" s="845"/>
      <c r="Y71" s="845"/>
      <c r="Z71" s="845"/>
      <c r="AA71" s="845"/>
      <c r="AB71" s="970"/>
      <c r="AC71" s="970"/>
      <c r="AD71" s="845"/>
      <c r="AE71" s="845"/>
      <c r="AF71" s="840"/>
    </row>
    <row r="72" spans="1:32">
      <c r="A72" s="975">
        <v>1</v>
      </c>
      <c r="B72" s="975" t="s">
        <v>1248</v>
      </c>
      <c r="C72" s="837">
        <v>12</v>
      </c>
      <c r="D72" s="837">
        <v>4</v>
      </c>
      <c r="E72" s="845">
        <v>58.4</v>
      </c>
      <c r="F72" s="845">
        <v>18</v>
      </c>
      <c r="G72" s="845">
        <v>0.12</v>
      </c>
      <c r="H72" s="845">
        <f>F72*G72*D72*C72</f>
        <v>103.68</v>
      </c>
      <c r="I72" s="845">
        <f>E72*G72*D72*C72</f>
        <v>336.38400000000001</v>
      </c>
      <c r="J72" s="845">
        <f>F72*D72*C72</f>
        <v>864</v>
      </c>
      <c r="K72" s="444"/>
      <c r="L72" s="845">
        <v>8</v>
      </c>
      <c r="M72" s="845">
        <v>8</v>
      </c>
      <c r="N72" s="843">
        <v>10</v>
      </c>
      <c r="O72" s="843">
        <v>10</v>
      </c>
      <c r="P72" s="969">
        <v>0.35</v>
      </c>
      <c r="Q72" s="969">
        <v>0.3</v>
      </c>
      <c r="R72" s="840">
        <f>(M72/P72)+1</f>
        <v>23.857142857142858</v>
      </c>
      <c r="S72" s="840">
        <f>(L72/Q72)+1</f>
        <v>27.666666666666668</v>
      </c>
      <c r="T72" s="840">
        <v>2</v>
      </c>
      <c r="U72" s="840">
        <v>3</v>
      </c>
      <c r="V72" s="845">
        <f>(T72*40*N72/1000)</f>
        <v>0.8</v>
      </c>
      <c r="W72" s="845">
        <f>(U72*40*O72/1000)</f>
        <v>1.2</v>
      </c>
      <c r="X72" s="845">
        <f>(L72+V72)+(2*6*N72/1000)-(2*0.03)</f>
        <v>8.86</v>
      </c>
      <c r="Y72" s="845">
        <f>(M72+W72)+(2*6*O72/1000)-(2*0.03)</f>
        <v>9.259999999999998</v>
      </c>
      <c r="Z72" s="845">
        <f>X72*R72*D72*C72*2</f>
        <v>20291.931428571428</v>
      </c>
      <c r="AA72" s="845">
        <f>Y72*S72*D72*C72*2</f>
        <v>24594.559999999994</v>
      </c>
      <c r="AB72" s="970">
        <f>N72*N72*0.074/12</f>
        <v>0.61666666666666659</v>
      </c>
      <c r="AC72" s="970">
        <f>O72*O72*0.074/12</f>
        <v>0.61666666666666659</v>
      </c>
      <c r="AD72" s="845">
        <f>Z72*AB72</f>
        <v>12513.357714285712</v>
      </c>
      <c r="AE72" s="845">
        <f>AA72*AC72</f>
        <v>15166.645333333328</v>
      </c>
      <c r="AF72" s="840">
        <f>SUM(AD72:AE72)/H72</f>
        <v>266.97533803644905</v>
      </c>
    </row>
    <row r="73" spans="1:32">
      <c r="A73" s="975"/>
      <c r="B73" s="975"/>
      <c r="C73" s="837"/>
      <c r="D73" s="837"/>
      <c r="E73" s="845"/>
      <c r="F73" s="845"/>
      <c r="G73" s="845"/>
      <c r="H73" s="845"/>
      <c r="I73" s="845"/>
      <c r="J73" s="845"/>
      <c r="K73" s="444"/>
      <c r="L73" s="845"/>
      <c r="M73" s="845"/>
      <c r="N73" s="843"/>
      <c r="O73" s="843"/>
      <c r="P73" s="969"/>
      <c r="Q73" s="969"/>
      <c r="R73" s="840"/>
      <c r="S73" s="840"/>
      <c r="T73" s="840"/>
      <c r="U73" s="840"/>
      <c r="V73" s="845"/>
      <c r="W73" s="845"/>
      <c r="X73" s="845"/>
      <c r="Y73" s="845"/>
      <c r="Z73" s="845"/>
      <c r="AA73" s="845"/>
      <c r="AB73" s="970"/>
      <c r="AC73" s="970"/>
      <c r="AD73" s="845"/>
      <c r="AE73" s="845"/>
      <c r="AF73" s="840"/>
    </row>
    <row r="74" spans="1:32">
      <c r="A74" s="975"/>
      <c r="B74" s="976" t="s">
        <v>1235</v>
      </c>
      <c r="C74" s="837"/>
      <c r="D74" s="837"/>
      <c r="E74" s="845"/>
      <c r="F74" s="845"/>
      <c r="G74" s="845"/>
      <c r="H74" s="845"/>
      <c r="I74" s="845"/>
      <c r="J74" s="845"/>
      <c r="K74" s="444"/>
      <c r="L74" s="977" t="s">
        <v>1236</v>
      </c>
      <c r="M74" s="845"/>
      <c r="N74" s="843"/>
      <c r="O74" s="843"/>
      <c r="P74" s="969"/>
      <c r="Q74" s="969"/>
      <c r="R74" s="840"/>
      <c r="S74" s="840"/>
      <c r="T74" s="840"/>
      <c r="U74" s="840"/>
      <c r="V74" s="845"/>
      <c r="W74" s="845"/>
      <c r="X74" s="845"/>
      <c r="Y74" s="845"/>
      <c r="Z74" s="845"/>
      <c r="AA74" s="845"/>
      <c r="AB74" s="970"/>
      <c r="AC74" s="970"/>
      <c r="AD74" s="845"/>
      <c r="AE74" s="845"/>
      <c r="AF74" s="840"/>
    </row>
    <row r="75" spans="1:32">
      <c r="A75" s="976">
        <v>1</v>
      </c>
      <c r="B75" s="976" t="s">
        <v>1237</v>
      </c>
      <c r="C75" s="978">
        <v>2</v>
      </c>
      <c r="D75" s="978">
        <v>4</v>
      </c>
      <c r="E75" s="979">
        <v>9</v>
      </c>
      <c r="F75" s="979">
        <v>15.055</v>
      </c>
      <c r="G75" s="979">
        <f>G72</f>
        <v>0.12</v>
      </c>
      <c r="H75" s="979">
        <f>F75*G75*D75*C75</f>
        <v>14.4528</v>
      </c>
      <c r="I75" s="979">
        <f>E75*G75*D75*C75</f>
        <v>8.64</v>
      </c>
      <c r="J75" s="979">
        <f>F75*D75*C75</f>
        <v>120.44</v>
      </c>
      <c r="K75" s="444"/>
      <c r="L75" s="979">
        <v>3</v>
      </c>
      <c r="M75" s="979">
        <v>3</v>
      </c>
      <c r="N75" s="980">
        <v>10</v>
      </c>
      <c r="O75" s="980">
        <v>10</v>
      </c>
      <c r="P75" s="981">
        <f>P72</f>
        <v>0.35</v>
      </c>
      <c r="Q75" s="981">
        <f>Q72</f>
        <v>0.3</v>
      </c>
      <c r="R75" s="982">
        <f>(M75/P75)+1</f>
        <v>9.5714285714285712</v>
      </c>
      <c r="S75" s="982">
        <f>(L75/Q75)+1</f>
        <v>11</v>
      </c>
      <c r="T75" s="982">
        <v>2</v>
      </c>
      <c r="U75" s="982">
        <v>3</v>
      </c>
      <c r="V75" s="979">
        <f>(T75*40*N75/1000)</f>
        <v>0.8</v>
      </c>
      <c r="W75" s="979">
        <f>(U75*40*O75/1000)</f>
        <v>1.2</v>
      </c>
      <c r="X75" s="979">
        <f>(L75+V75)+(2*6*N75/1000)-(2*0.03)</f>
        <v>3.86</v>
      </c>
      <c r="Y75" s="979">
        <f>(M75+W75)+(2*6*O75/1000)-(2*0.03)</f>
        <v>4.2600000000000007</v>
      </c>
      <c r="Z75" s="979">
        <f>X75*R75*D75*C75*2</f>
        <v>591.1314285714285</v>
      </c>
      <c r="AA75" s="979">
        <f>Y75*S75*D75*C75*2</f>
        <v>749.7600000000001</v>
      </c>
      <c r="AB75" s="983">
        <f>N75*N75*0.074/12</f>
        <v>0.61666666666666659</v>
      </c>
      <c r="AC75" s="983">
        <f>O75*O75*0.074/12</f>
        <v>0.61666666666666659</v>
      </c>
      <c r="AD75" s="979">
        <f>Z75*AB75</f>
        <v>364.53104761904751</v>
      </c>
      <c r="AE75" s="979">
        <f>AA75*AC75</f>
        <v>462.35199999999998</v>
      </c>
      <c r="AF75" s="982"/>
    </row>
    <row r="76" spans="1:32">
      <c r="A76" s="976"/>
      <c r="B76" s="976"/>
      <c r="C76" s="978"/>
      <c r="D76" s="978"/>
      <c r="E76" s="979"/>
      <c r="F76" s="979"/>
      <c r="G76" s="979"/>
      <c r="H76" s="979"/>
      <c r="I76" s="845"/>
      <c r="J76" s="979"/>
      <c r="K76" s="444"/>
      <c r="L76" s="979"/>
      <c r="M76" s="979"/>
      <c r="N76" s="980"/>
      <c r="O76" s="980"/>
      <c r="P76" s="981"/>
      <c r="Q76" s="981"/>
      <c r="R76" s="982"/>
      <c r="S76" s="982"/>
      <c r="T76" s="982"/>
      <c r="U76" s="982"/>
      <c r="V76" s="979"/>
      <c r="W76" s="979"/>
      <c r="X76" s="979"/>
      <c r="Y76" s="979"/>
      <c r="Z76" s="979"/>
      <c r="AA76" s="979"/>
      <c r="AB76" s="983"/>
      <c r="AC76" s="983"/>
      <c r="AD76" s="979"/>
      <c r="AE76" s="979"/>
      <c r="AF76" s="982"/>
    </row>
    <row r="77" spans="1:32">
      <c r="A77" s="828" t="str">
        <f>A67</f>
        <v>Total</v>
      </c>
      <c r="B77" s="828"/>
      <c r="C77" s="828"/>
      <c r="D77" s="828"/>
      <c r="E77" s="828"/>
      <c r="F77" s="828"/>
      <c r="G77" s="828"/>
      <c r="H77" s="845">
        <f>(SUM(H72:H72))-(SUM(H75:H76))</f>
        <v>89.227200000000011</v>
      </c>
      <c r="I77" s="845">
        <f>I72-I75</f>
        <v>327.74400000000003</v>
      </c>
      <c r="J77" s="845">
        <f>(SUM(J72:J72))-(SUM(J75:J76))</f>
        <v>743.56</v>
      </c>
      <c r="K77" s="444"/>
      <c r="L77" s="818" t="str">
        <f>L67</f>
        <v>Total</v>
      </c>
      <c r="M77" s="818"/>
      <c r="N77" s="818"/>
      <c r="O77" s="818"/>
      <c r="P77" s="818"/>
      <c r="Q77" s="818"/>
      <c r="R77" s="818"/>
      <c r="S77" s="818"/>
      <c r="T77" s="818"/>
      <c r="U77" s="818"/>
      <c r="V77" s="818"/>
      <c r="W77" s="818"/>
      <c r="X77" s="818"/>
      <c r="Y77" s="818"/>
      <c r="Z77" s="818"/>
      <c r="AA77" s="818"/>
      <c r="AB77" s="818"/>
      <c r="AC77" s="818"/>
      <c r="AD77" s="845">
        <f>(SUM(AD72:AD72))-(SUM(AD75:AD76))</f>
        <v>12148.826666666664</v>
      </c>
      <c r="AE77" s="845">
        <f>(SUM(AE72:AE72))-(SUM(AE75:AE76))</f>
        <v>14704.293333333328</v>
      </c>
      <c r="AF77" s="840">
        <f>SUM(AD77:AE77)/H77</f>
        <v>300.95217601807508</v>
      </c>
    </row>
  </sheetData>
  <mergeCells count="152">
    <mergeCell ref="X70:Y70"/>
    <mergeCell ref="Z70:AA70"/>
    <mergeCell ref="AB70:AC70"/>
    <mergeCell ref="AD70:AE70"/>
    <mergeCell ref="A77:G77"/>
    <mergeCell ref="L77:AC77"/>
    <mergeCell ref="AD68:AE68"/>
    <mergeCell ref="C69:C70"/>
    <mergeCell ref="D69:D70"/>
    <mergeCell ref="V69:W69"/>
    <mergeCell ref="AF69:AF70"/>
    <mergeCell ref="L70:M70"/>
    <mergeCell ref="N70:O70"/>
    <mergeCell ref="P70:Q70"/>
    <mergeCell ref="R70:S70"/>
    <mergeCell ref="T70:U70"/>
    <mergeCell ref="R68:S68"/>
    <mergeCell ref="T68:U68"/>
    <mergeCell ref="V68:W68"/>
    <mergeCell ref="X68:Y68"/>
    <mergeCell ref="Z68:AA68"/>
    <mergeCell ref="AB68:AC68"/>
    <mergeCell ref="A67:G67"/>
    <mergeCell ref="L67:AC67"/>
    <mergeCell ref="A68:A70"/>
    <mergeCell ref="B68:B70"/>
    <mergeCell ref="E68:G68"/>
    <mergeCell ref="H68:H69"/>
    <mergeCell ref="I68:J68"/>
    <mergeCell ref="L68:M68"/>
    <mergeCell ref="N68:O68"/>
    <mergeCell ref="P68:Q68"/>
    <mergeCell ref="AF59:AF60"/>
    <mergeCell ref="L60:M60"/>
    <mergeCell ref="N60:O60"/>
    <mergeCell ref="P60:Q60"/>
    <mergeCell ref="R60:S60"/>
    <mergeCell ref="T60:U60"/>
    <mergeCell ref="X60:Y60"/>
    <mergeCell ref="Z60:AA60"/>
    <mergeCell ref="AB60:AC60"/>
    <mergeCell ref="AD60:AE60"/>
    <mergeCell ref="Z58:AA58"/>
    <mergeCell ref="AB58:AC58"/>
    <mergeCell ref="AD58:AE58"/>
    <mergeCell ref="C59:C60"/>
    <mergeCell ref="D59:D60"/>
    <mergeCell ref="V59:W59"/>
    <mergeCell ref="N58:O58"/>
    <mergeCell ref="P58:Q58"/>
    <mergeCell ref="R58:S58"/>
    <mergeCell ref="T58:U58"/>
    <mergeCell ref="V58:W58"/>
    <mergeCell ref="X58:Y58"/>
    <mergeCell ref="A58:A60"/>
    <mergeCell ref="B58:B60"/>
    <mergeCell ref="E58:G58"/>
    <mergeCell ref="H58:H59"/>
    <mergeCell ref="I58:J58"/>
    <mergeCell ref="L58:M58"/>
    <mergeCell ref="X50:Y50"/>
    <mergeCell ref="Z50:AA50"/>
    <mergeCell ref="AB50:AC50"/>
    <mergeCell ref="AD50:AE50"/>
    <mergeCell ref="A57:G57"/>
    <mergeCell ref="L57:AC57"/>
    <mergeCell ref="AD48:AE48"/>
    <mergeCell ref="C49:C50"/>
    <mergeCell ref="D49:D50"/>
    <mergeCell ref="V49:W49"/>
    <mergeCell ref="AF49:AF50"/>
    <mergeCell ref="L50:M50"/>
    <mergeCell ref="N50:O50"/>
    <mergeCell ref="P50:Q50"/>
    <mergeCell ref="R50:S50"/>
    <mergeCell ref="T50:U50"/>
    <mergeCell ref="R48:S48"/>
    <mergeCell ref="T48:U48"/>
    <mergeCell ref="V48:W48"/>
    <mergeCell ref="X48:Y48"/>
    <mergeCell ref="Z48:AA48"/>
    <mergeCell ref="AB48:AC48"/>
    <mergeCell ref="A47:G47"/>
    <mergeCell ref="L47:AC47"/>
    <mergeCell ref="A48:A50"/>
    <mergeCell ref="B48:B50"/>
    <mergeCell ref="E48:G48"/>
    <mergeCell ref="H48:H49"/>
    <mergeCell ref="I48:J48"/>
    <mergeCell ref="L48:M48"/>
    <mergeCell ref="N48:O48"/>
    <mergeCell ref="P48:Q48"/>
    <mergeCell ref="AF39:AF40"/>
    <mergeCell ref="L40:M40"/>
    <mergeCell ref="N40:O40"/>
    <mergeCell ref="P40:Q40"/>
    <mergeCell ref="R40:S40"/>
    <mergeCell ref="T40:U40"/>
    <mergeCell ref="X40:Y40"/>
    <mergeCell ref="Z40:AA40"/>
    <mergeCell ref="AB40:AC40"/>
    <mergeCell ref="AD40:AE40"/>
    <mergeCell ref="Z38:AA38"/>
    <mergeCell ref="AB38:AC38"/>
    <mergeCell ref="AD38:AE38"/>
    <mergeCell ref="C39:C40"/>
    <mergeCell ref="D39:D40"/>
    <mergeCell ref="V39:W39"/>
    <mergeCell ref="N38:O38"/>
    <mergeCell ref="P38:Q38"/>
    <mergeCell ref="R38:S38"/>
    <mergeCell ref="T38:U38"/>
    <mergeCell ref="V38:W38"/>
    <mergeCell ref="X38:Y38"/>
    <mergeCell ref="A29:G29"/>
    <mergeCell ref="L29:AC29"/>
    <mergeCell ref="A36:G36"/>
    <mergeCell ref="L36:AC36"/>
    <mergeCell ref="A38:A40"/>
    <mergeCell ref="B38:B40"/>
    <mergeCell ref="E38:G38"/>
    <mergeCell ref="H38:H39"/>
    <mergeCell ref="I38:J38"/>
    <mergeCell ref="L38:M38"/>
    <mergeCell ref="AF22:AF23"/>
    <mergeCell ref="L23:M23"/>
    <mergeCell ref="N23:O23"/>
    <mergeCell ref="P23:Q23"/>
    <mergeCell ref="R23:S23"/>
    <mergeCell ref="T23:U23"/>
    <mergeCell ref="X23:Y23"/>
    <mergeCell ref="Z23:AA23"/>
    <mergeCell ref="AB23:AC23"/>
    <mergeCell ref="AD23:AE23"/>
    <mergeCell ref="Z21:AA21"/>
    <mergeCell ref="AB21:AC21"/>
    <mergeCell ref="AD21:AE21"/>
    <mergeCell ref="C22:C23"/>
    <mergeCell ref="D22:D23"/>
    <mergeCell ref="V22:W22"/>
    <mergeCell ref="N21:O21"/>
    <mergeCell ref="P21:Q21"/>
    <mergeCell ref="R21:S21"/>
    <mergeCell ref="T21:U21"/>
    <mergeCell ref="V21:W21"/>
    <mergeCell ref="X21:Y21"/>
    <mergeCell ref="A21:A23"/>
    <mergeCell ref="B21:B23"/>
    <mergeCell ref="E21:G21"/>
    <mergeCell ref="H21:H22"/>
    <mergeCell ref="I21:J21"/>
    <mergeCell ref="L21:M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533"/>
  <sheetViews>
    <sheetView topLeftCell="A82" zoomScale="25" zoomScaleNormal="25" workbookViewId="0">
      <selection activeCell="P162" sqref="P162"/>
    </sheetView>
  </sheetViews>
  <sheetFormatPr defaultRowHeight="15"/>
  <sheetData>
    <row r="1" spans="1:72" ht="22.5">
      <c r="A1" s="927"/>
      <c r="B1" s="928"/>
      <c r="C1" s="929"/>
      <c r="D1" s="929"/>
      <c r="E1" s="929"/>
      <c r="F1" s="930"/>
      <c r="G1" s="930"/>
      <c r="H1" s="930"/>
      <c r="I1" s="930"/>
      <c r="J1" s="930"/>
      <c r="K1" s="930"/>
      <c r="L1" s="930"/>
      <c r="M1" s="928"/>
      <c r="N1" s="929"/>
      <c r="O1" s="929"/>
      <c r="P1" s="929"/>
      <c r="Q1" s="929"/>
      <c r="R1" s="929"/>
      <c r="S1" s="929"/>
      <c r="T1" s="929"/>
      <c r="U1" s="929"/>
      <c r="V1" s="929"/>
      <c r="W1" s="929"/>
      <c r="X1" s="929"/>
      <c r="Y1" s="931"/>
      <c r="Z1" s="932"/>
      <c r="AA1" s="932"/>
      <c r="AB1" s="932"/>
      <c r="AC1" s="932"/>
      <c r="AD1" s="932"/>
      <c r="AE1" s="932"/>
      <c r="AF1" s="933"/>
      <c r="AG1" s="933"/>
      <c r="AH1" s="933"/>
      <c r="AI1" s="933"/>
      <c r="AJ1" s="933"/>
      <c r="AK1" s="934"/>
      <c r="AL1" s="934"/>
      <c r="AM1" s="934"/>
      <c r="AN1" s="934"/>
      <c r="AO1" s="934"/>
      <c r="AP1" s="934"/>
      <c r="AQ1" s="934"/>
      <c r="AR1" s="934"/>
      <c r="AS1" s="934"/>
      <c r="AT1" s="934"/>
      <c r="AU1" s="934"/>
      <c r="AV1" s="934"/>
      <c r="AW1" s="934"/>
      <c r="AX1" s="934"/>
      <c r="AY1" s="934"/>
      <c r="AZ1" s="934"/>
      <c r="BA1" s="934"/>
      <c r="BB1" s="934"/>
      <c r="BC1" s="935"/>
      <c r="BD1" s="935"/>
      <c r="BE1" s="935"/>
      <c r="BF1" s="935"/>
      <c r="BG1" s="935"/>
      <c r="BH1" s="935"/>
      <c r="BI1" s="935"/>
      <c r="BJ1" s="935"/>
      <c r="BK1" s="935"/>
      <c r="BL1" s="794"/>
      <c r="BM1" s="934"/>
      <c r="BN1" s="934"/>
      <c r="BO1" s="934"/>
      <c r="BP1" s="934"/>
      <c r="BQ1" s="934"/>
      <c r="BR1" s="934"/>
      <c r="BS1" s="934"/>
      <c r="BT1" s="933"/>
    </row>
    <row r="2" spans="1:72">
      <c r="A2" s="936" t="s">
        <v>975</v>
      </c>
      <c r="B2" s="937"/>
      <c r="C2" s="938" t="s">
        <v>76</v>
      </c>
      <c r="D2" s="939" t="s">
        <v>1048</v>
      </c>
      <c r="E2" s="939"/>
      <c r="F2" s="939"/>
      <c r="G2" s="939"/>
      <c r="H2" s="939"/>
      <c r="I2" s="939"/>
      <c r="J2" s="939"/>
      <c r="K2" s="939"/>
      <c r="L2" s="939"/>
      <c r="M2" s="937"/>
      <c r="N2" s="937" t="s">
        <v>975</v>
      </c>
      <c r="O2" s="937"/>
      <c r="P2" s="938"/>
      <c r="Q2" s="938"/>
      <c r="R2" s="938"/>
      <c r="S2" s="938"/>
      <c r="T2" s="938" t="s">
        <v>76</v>
      </c>
      <c r="U2" s="940" t="s">
        <v>1048</v>
      </c>
      <c r="V2" s="940"/>
      <c r="W2" s="940"/>
      <c r="X2" s="940"/>
      <c r="Y2" s="940"/>
      <c r="Z2" s="940"/>
      <c r="AA2" s="940"/>
      <c r="AB2" s="940"/>
      <c r="AC2" s="940"/>
      <c r="AD2" s="932"/>
      <c r="AE2" s="932"/>
      <c r="AF2" s="933"/>
      <c r="AG2" s="933"/>
      <c r="AH2" s="933"/>
      <c r="AI2" s="933"/>
      <c r="AJ2" s="933"/>
      <c r="AK2" s="934"/>
      <c r="AL2" s="934"/>
      <c r="AM2" s="934"/>
      <c r="AN2" s="934"/>
      <c r="AO2" s="934"/>
      <c r="AP2" s="934"/>
      <c r="AQ2" s="934"/>
      <c r="AR2" s="934"/>
      <c r="AS2" s="934"/>
      <c r="AT2" s="934"/>
      <c r="AU2" s="934"/>
      <c r="AV2" s="934"/>
      <c r="AW2" s="934"/>
      <c r="AX2" s="934"/>
      <c r="AY2" s="934"/>
      <c r="AZ2" s="934"/>
      <c r="BA2" s="934"/>
      <c r="BB2" s="934"/>
      <c r="BC2" s="935"/>
      <c r="BD2" s="935"/>
      <c r="BE2" s="935"/>
      <c r="BF2" s="935"/>
      <c r="BG2" s="935"/>
      <c r="BH2" s="935"/>
      <c r="BI2" s="935"/>
      <c r="BJ2" s="935"/>
      <c r="BK2" s="935"/>
      <c r="BL2" s="794"/>
      <c r="BM2" s="934"/>
      <c r="BN2" s="934"/>
      <c r="BO2" s="934"/>
      <c r="BP2" s="934"/>
      <c r="BQ2" s="934"/>
      <c r="BR2" s="934"/>
      <c r="BS2" s="934"/>
      <c r="BT2" s="933"/>
    </row>
    <row r="3" spans="1:72">
      <c r="A3" s="936" t="s">
        <v>977</v>
      </c>
      <c r="B3" s="937"/>
      <c r="C3" s="938" t="s">
        <v>76</v>
      </c>
      <c r="D3" s="941" t="s">
        <v>591</v>
      </c>
      <c r="E3" s="938"/>
      <c r="F3" s="942"/>
      <c r="G3" s="942"/>
      <c r="H3" s="942"/>
      <c r="I3" s="942"/>
      <c r="J3" s="942"/>
      <c r="K3" s="942"/>
      <c r="L3" s="942"/>
      <c r="M3" s="937"/>
      <c r="N3" s="937" t="s">
        <v>977</v>
      </c>
      <c r="O3" s="937"/>
      <c r="P3" s="938"/>
      <c r="Q3" s="938"/>
      <c r="R3" s="938"/>
      <c r="S3" s="938"/>
      <c r="T3" s="938" t="s">
        <v>76</v>
      </c>
      <c r="U3" s="941" t="s">
        <v>591</v>
      </c>
      <c r="V3" s="938"/>
      <c r="W3" s="938"/>
      <c r="X3" s="938"/>
      <c r="Y3" s="931"/>
      <c r="Z3" s="932"/>
      <c r="AA3" s="932"/>
      <c r="AB3" s="932"/>
      <c r="AC3" s="932"/>
      <c r="AD3" s="932"/>
      <c r="AE3" s="932"/>
      <c r="AF3" s="933"/>
      <c r="AG3" s="933"/>
      <c r="AH3" s="933"/>
      <c r="AI3" s="933"/>
      <c r="AJ3" s="933"/>
      <c r="AK3" s="934"/>
      <c r="AL3" s="934"/>
      <c r="AM3" s="934"/>
      <c r="AN3" s="934"/>
      <c r="AO3" s="934"/>
      <c r="AP3" s="934"/>
      <c r="AQ3" s="934"/>
      <c r="AR3" s="934"/>
      <c r="AS3" s="934"/>
      <c r="AT3" s="934"/>
      <c r="AU3" s="934"/>
      <c r="AV3" s="934"/>
      <c r="AW3" s="934"/>
      <c r="AX3" s="934"/>
      <c r="AY3" s="934"/>
      <c r="AZ3" s="934"/>
      <c r="BA3" s="934"/>
      <c r="BB3" s="934"/>
      <c r="BC3" s="935"/>
      <c r="BD3" s="935"/>
      <c r="BE3" s="935"/>
      <c r="BF3" s="935"/>
      <c r="BG3" s="935"/>
      <c r="BH3" s="935"/>
      <c r="BI3" s="935"/>
      <c r="BJ3" s="935"/>
      <c r="BK3" s="935"/>
      <c r="BL3" s="794"/>
      <c r="BM3" s="934"/>
      <c r="BN3" s="934"/>
      <c r="BO3" s="934"/>
      <c r="BP3" s="934"/>
      <c r="BQ3" s="934"/>
      <c r="BR3" s="934"/>
      <c r="BS3" s="934"/>
      <c r="BT3" s="933"/>
    </row>
    <row r="4" spans="1:72">
      <c r="A4" s="936" t="s">
        <v>978</v>
      </c>
      <c r="B4" s="937"/>
      <c r="C4" s="938" t="s">
        <v>76</v>
      </c>
      <c r="D4" s="941" t="str">
        <f>U4</f>
        <v xml:space="preserve">Dicky Rifani Pasaribu </v>
      </c>
      <c r="E4" s="938"/>
      <c r="F4" s="942"/>
      <c r="G4" s="942"/>
      <c r="H4" s="942"/>
      <c r="I4" s="942"/>
      <c r="J4" s="942"/>
      <c r="K4" s="942"/>
      <c r="L4" s="942"/>
      <c r="M4" s="937"/>
      <c r="N4" s="937" t="s">
        <v>978</v>
      </c>
      <c r="O4" s="937"/>
      <c r="P4" s="938"/>
      <c r="Q4" s="938"/>
      <c r="R4" s="938"/>
      <c r="S4" s="938"/>
      <c r="T4" s="938" t="s">
        <v>76</v>
      </c>
      <c r="U4" s="941" t="s">
        <v>1049</v>
      </c>
      <c r="V4" s="938"/>
      <c r="W4" s="938"/>
      <c r="X4" s="938"/>
      <c r="Y4" s="931"/>
      <c r="Z4" s="932"/>
      <c r="AA4" s="932"/>
      <c r="AB4" s="932"/>
      <c r="AC4" s="932"/>
      <c r="AD4" s="932"/>
      <c r="AE4" s="932"/>
      <c r="AF4" s="933"/>
      <c r="AG4" s="933"/>
      <c r="AH4" s="933"/>
      <c r="AI4" s="933"/>
      <c r="AJ4" s="933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5"/>
      <c r="BD4" s="935"/>
      <c r="BE4" s="935"/>
      <c r="BF4" s="935"/>
      <c r="BG4" s="935"/>
      <c r="BH4" s="935"/>
      <c r="BI4" s="935"/>
      <c r="BJ4" s="935"/>
      <c r="BK4" s="935"/>
      <c r="BL4" s="794"/>
      <c r="BM4" s="934"/>
      <c r="BN4" s="934"/>
      <c r="BO4" s="934"/>
      <c r="BP4" s="934"/>
      <c r="BQ4" s="934"/>
      <c r="BR4" s="934"/>
      <c r="BS4" s="934"/>
      <c r="BT4" s="933"/>
    </row>
    <row r="5" spans="1:72">
      <c r="A5" s="936" t="s">
        <v>980</v>
      </c>
      <c r="B5" s="937"/>
      <c r="C5" s="938" t="s">
        <v>76</v>
      </c>
      <c r="D5" s="941" t="s">
        <v>981</v>
      </c>
      <c r="E5" s="938"/>
      <c r="F5" s="942"/>
      <c r="G5" s="942"/>
      <c r="H5" s="942"/>
      <c r="I5" s="942"/>
      <c r="J5" s="942"/>
      <c r="K5" s="942"/>
      <c r="L5" s="942"/>
      <c r="M5" s="937"/>
      <c r="N5" s="937" t="s">
        <v>980</v>
      </c>
      <c r="O5" s="937"/>
      <c r="P5" s="938"/>
      <c r="Q5" s="938"/>
      <c r="R5" s="938"/>
      <c r="S5" s="938"/>
      <c r="T5" s="938" t="s">
        <v>76</v>
      </c>
      <c r="U5" s="941" t="s">
        <v>982</v>
      </c>
      <c r="V5" s="938"/>
      <c r="W5" s="938"/>
      <c r="X5" s="938"/>
      <c r="Y5" s="931"/>
      <c r="Z5" s="932"/>
      <c r="AA5" s="932"/>
      <c r="AB5" s="932"/>
      <c r="AC5" s="932"/>
      <c r="AD5" s="932"/>
      <c r="AE5" s="932"/>
      <c r="AF5" s="933"/>
      <c r="AG5" s="933"/>
      <c r="AH5" s="933"/>
      <c r="AI5" s="933"/>
      <c r="AJ5" s="933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5"/>
      <c r="BD5" s="935"/>
      <c r="BE5" s="935"/>
      <c r="BF5" s="935"/>
      <c r="BG5" s="935"/>
      <c r="BH5" s="935"/>
      <c r="BI5" s="935"/>
      <c r="BJ5" s="935"/>
      <c r="BK5" s="935"/>
      <c r="BL5" s="794"/>
      <c r="BM5" s="934"/>
      <c r="BN5" s="934"/>
      <c r="BO5" s="934"/>
      <c r="BP5" s="934"/>
      <c r="BQ5" s="934"/>
      <c r="BR5" s="934"/>
      <c r="BS5" s="934"/>
      <c r="BT5" s="933"/>
    </row>
    <row r="6" spans="1:72">
      <c r="A6" s="943"/>
      <c r="B6" s="943"/>
      <c r="C6" s="944"/>
      <c r="D6" s="944"/>
      <c r="E6" s="944"/>
      <c r="F6" s="945"/>
      <c r="G6" s="945"/>
      <c r="H6" s="945"/>
      <c r="I6" s="945"/>
      <c r="J6" s="945"/>
      <c r="K6" s="945"/>
      <c r="L6" s="945"/>
      <c r="M6" s="943"/>
      <c r="N6" s="944"/>
      <c r="O6" s="944"/>
      <c r="P6" s="944"/>
      <c r="Q6" s="944"/>
      <c r="R6" s="944"/>
      <c r="S6" s="944"/>
      <c r="T6" s="944"/>
      <c r="U6" s="944"/>
      <c r="V6" s="944"/>
      <c r="W6" s="944"/>
      <c r="X6" s="944"/>
      <c r="Y6" s="944"/>
      <c r="Z6" s="944"/>
      <c r="AA6" s="944"/>
      <c r="AB6" s="944"/>
      <c r="AC6" s="944"/>
      <c r="AD6" s="944"/>
      <c r="AE6" s="944"/>
      <c r="AF6" s="946"/>
      <c r="AG6" s="946"/>
      <c r="AH6" s="946"/>
      <c r="AI6" s="946"/>
      <c r="AJ6" s="946"/>
      <c r="AK6" s="945"/>
      <c r="AL6" s="945"/>
      <c r="AM6" s="945"/>
      <c r="AN6" s="945"/>
      <c r="AO6" s="945"/>
      <c r="AP6" s="945"/>
      <c r="AQ6" s="945"/>
      <c r="AR6" s="945"/>
      <c r="AS6" s="945"/>
      <c r="AT6" s="945"/>
      <c r="AU6" s="945"/>
      <c r="AV6" s="945"/>
      <c r="AW6" s="945"/>
      <c r="AX6" s="945"/>
      <c r="AY6" s="945"/>
      <c r="AZ6" s="945"/>
      <c r="BA6" s="945"/>
      <c r="BB6" s="945"/>
      <c r="BC6" s="947"/>
      <c r="BD6" s="947"/>
      <c r="BE6" s="947"/>
      <c r="BF6" s="947"/>
      <c r="BG6" s="947"/>
      <c r="BH6" s="947"/>
      <c r="BI6" s="947"/>
      <c r="BJ6" s="947"/>
      <c r="BK6" s="947"/>
      <c r="BL6" s="948"/>
      <c r="BM6" s="945"/>
      <c r="BN6" s="945"/>
      <c r="BO6" s="945"/>
      <c r="BP6" s="945"/>
      <c r="BQ6" s="945"/>
      <c r="BR6" s="945"/>
      <c r="BS6" s="945"/>
      <c r="BT6" s="946"/>
    </row>
    <row r="7" spans="1:72">
      <c r="A7" s="949" t="s">
        <v>66</v>
      </c>
      <c r="B7" s="949" t="s">
        <v>1050</v>
      </c>
      <c r="C7" s="949" t="s">
        <v>983</v>
      </c>
      <c r="D7" s="950" t="s">
        <v>1051</v>
      </c>
      <c r="E7" s="950" t="s">
        <v>1052</v>
      </c>
      <c r="F7" s="951" t="s">
        <v>984</v>
      </c>
      <c r="G7" s="951"/>
      <c r="H7" s="951"/>
      <c r="I7" s="948" t="s">
        <v>985</v>
      </c>
      <c r="J7" s="948" t="s">
        <v>1053</v>
      </c>
      <c r="K7" s="948" t="s">
        <v>392</v>
      </c>
      <c r="L7" s="948" t="s">
        <v>377</v>
      </c>
      <c r="M7" s="952"/>
      <c r="N7" s="949" t="s">
        <v>1054</v>
      </c>
      <c r="O7" s="949"/>
      <c r="P7" s="949"/>
      <c r="Q7" s="949"/>
      <c r="R7" s="949"/>
      <c r="S7" s="949"/>
      <c r="T7" s="949" t="s">
        <v>1055</v>
      </c>
      <c r="U7" s="949"/>
      <c r="V7" s="949"/>
      <c r="W7" s="949" t="s">
        <v>989</v>
      </c>
      <c r="X7" s="949"/>
      <c r="Y7" s="949"/>
      <c r="Z7" s="949" t="s">
        <v>1056</v>
      </c>
      <c r="AA7" s="949"/>
      <c r="AB7" s="949"/>
      <c r="AC7" s="949"/>
      <c r="AD7" s="949"/>
      <c r="AE7" s="949"/>
      <c r="AF7" s="953" t="s">
        <v>1057</v>
      </c>
      <c r="AG7" s="953"/>
      <c r="AH7" s="953"/>
      <c r="AI7" s="953"/>
      <c r="AJ7" s="953"/>
      <c r="AK7" s="951" t="s">
        <v>1058</v>
      </c>
      <c r="AL7" s="951"/>
      <c r="AM7" s="951"/>
      <c r="AN7" s="951"/>
      <c r="AO7" s="951"/>
      <c r="AP7" s="951"/>
      <c r="AQ7" s="951" t="s">
        <v>1059</v>
      </c>
      <c r="AR7" s="951"/>
      <c r="AS7" s="951"/>
      <c r="AT7" s="951" t="s">
        <v>1060</v>
      </c>
      <c r="AU7" s="951"/>
      <c r="AV7" s="951"/>
      <c r="AW7" s="951"/>
      <c r="AX7" s="951"/>
      <c r="AY7" s="951"/>
      <c r="AZ7" s="951" t="s">
        <v>1061</v>
      </c>
      <c r="BA7" s="951"/>
      <c r="BB7" s="951"/>
      <c r="BC7" s="954" t="s">
        <v>1062</v>
      </c>
      <c r="BD7" s="954"/>
      <c r="BE7" s="954"/>
      <c r="BF7" s="954"/>
      <c r="BG7" s="954"/>
      <c r="BH7" s="954"/>
      <c r="BI7" s="954" t="s">
        <v>996</v>
      </c>
      <c r="BJ7" s="954"/>
      <c r="BK7" s="954"/>
      <c r="BL7" s="951" t="s">
        <v>997</v>
      </c>
      <c r="BM7" s="951"/>
      <c r="BN7" s="951"/>
      <c r="BO7" s="951"/>
      <c r="BP7" s="951"/>
      <c r="BQ7" s="951"/>
      <c r="BR7" s="951"/>
      <c r="BS7" s="951"/>
      <c r="BT7" s="955" t="s">
        <v>998</v>
      </c>
    </row>
    <row r="8" spans="1:72">
      <c r="A8" s="949"/>
      <c r="B8" s="949"/>
      <c r="C8" s="949"/>
      <c r="D8" s="949" t="s">
        <v>1063</v>
      </c>
      <c r="E8" s="949" t="s">
        <v>391</v>
      </c>
      <c r="F8" s="948" t="s">
        <v>999</v>
      </c>
      <c r="G8" s="948" t="s">
        <v>1000</v>
      </c>
      <c r="H8" s="948" t="s">
        <v>1001</v>
      </c>
      <c r="I8" s="948" t="s">
        <v>1002</v>
      </c>
      <c r="J8" s="948" t="s">
        <v>1003</v>
      </c>
      <c r="K8" s="951" t="s">
        <v>1064</v>
      </c>
      <c r="L8" s="948"/>
      <c r="M8" s="952"/>
      <c r="N8" s="949" t="s">
        <v>1001</v>
      </c>
      <c r="O8" s="949"/>
      <c r="P8" s="949" t="s">
        <v>1000</v>
      </c>
      <c r="Q8" s="949"/>
      <c r="R8" s="949" t="s">
        <v>1001</v>
      </c>
      <c r="S8" s="949"/>
      <c r="T8" s="950" t="s">
        <v>1007</v>
      </c>
      <c r="U8" s="949" t="s">
        <v>1005</v>
      </c>
      <c r="V8" s="949"/>
      <c r="W8" s="949"/>
      <c r="X8" s="949" t="s">
        <v>1000</v>
      </c>
      <c r="Y8" s="949" t="s">
        <v>1001</v>
      </c>
      <c r="Z8" s="949" t="s">
        <v>1001</v>
      </c>
      <c r="AA8" s="949"/>
      <c r="AB8" s="949" t="s">
        <v>1000</v>
      </c>
      <c r="AC8" s="949"/>
      <c r="AD8" s="949" t="s">
        <v>1001</v>
      </c>
      <c r="AE8" s="949"/>
      <c r="AF8" s="953" t="s">
        <v>1004</v>
      </c>
      <c r="AG8" s="953"/>
      <c r="AH8" s="953"/>
      <c r="AI8" s="953" t="s">
        <v>1065</v>
      </c>
      <c r="AJ8" s="953"/>
      <c r="AK8" s="951" t="s">
        <v>1001</v>
      </c>
      <c r="AL8" s="951"/>
      <c r="AM8" s="951" t="s">
        <v>1000</v>
      </c>
      <c r="AN8" s="951"/>
      <c r="AO8" s="951" t="s">
        <v>1001</v>
      </c>
      <c r="AP8" s="951"/>
      <c r="AQ8" s="951" t="s">
        <v>1004</v>
      </c>
      <c r="AR8" s="951" t="s">
        <v>1005</v>
      </c>
      <c r="AS8" s="951"/>
      <c r="AT8" s="951" t="s">
        <v>1066</v>
      </c>
      <c r="AU8" s="951"/>
      <c r="AV8" s="951" t="s">
        <v>1000</v>
      </c>
      <c r="AW8" s="951"/>
      <c r="AX8" s="951" t="s">
        <v>1001</v>
      </c>
      <c r="AY8" s="951"/>
      <c r="AZ8" s="951" t="s">
        <v>1004</v>
      </c>
      <c r="BA8" s="951" t="s">
        <v>1005</v>
      </c>
      <c r="BB8" s="951"/>
      <c r="BC8" s="953" t="s">
        <v>1001</v>
      </c>
      <c r="BD8" s="953"/>
      <c r="BE8" s="953" t="s">
        <v>1000</v>
      </c>
      <c r="BF8" s="953"/>
      <c r="BG8" s="951" t="s">
        <v>1001</v>
      </c>
      <c r="BH8" s="951"/>
      <c r="BI8" s="956" t="s">
        <v>1004</v>
      </c>
      <c r="BJ8" s="954" t="s">
        <v>1005</v>
      </c>
      <c r="BK8" s="954"/>
      <c r="BL8" s="951" t="s">
        <v>1006</v>
      </c>
      <c r="BM8" s="951"/>
      <c r="BN8" s="951"/>
      <c r="BO8" s="951"/>
      <c r="BP8" s="951"/>
      <c r="BQ8" s="951"/>
      <c r="BR8" s="951" t="s">
        <v>1067</v>
      </c>
      <c r="BS8" s="951"/>
      <c r="BT8" s="953" t="s">
        <v>1068</v>
      </c>
    </row>
    <row r="9" spans="1:72">
      <c r="A9" s="949"/>
      <c r="B9" s="949"/>
      <c r="C9" s="949" t="s">
        <v>391</v>
      </c>
      <c r="D9" s="949"/>
      <c r="E9" s="949"/>
      <c r="F9" s="948" t="s">
        <v>1069</v>
      </c>
      <c r="G9" s="948" t="s">
        <v>1069</v>
      </c>
      <c r="H9" s="948" t="s">
        <v>1069</v>
      </c>
      <c r="I9" s="948" t="s">
        <v>1069</v>
      </c>
      <c r="J9" s="948" t="s">
        <v>1069</v>
      </c>
      <c r="K9" s="951"/>
      <c r="L9" s="948" t="s">
        <v>1070</v>
      </c>
      <c r="M9" s="952"/>
      <c r="N9" s="949"/>
      <c r="O9" s="949"/>
      <c r="P9" s="949"/>
      <c r="Q9" s="949"/>
      <c r="R9" s="949"/>
      <c r="S9" s="949"/>
      <c r="T9" s="950" t="s">
        <v>1071</v>
      </c>
      <c r="U9" s="950" t="s">
        <v>1012</v>
      </c>
      <c r="V9" s="950" t="s">
        <v>494</v>
      </c>
      <c r="W9" s="949"/>
      <c r="X9" s="949"/>
      <c r="Y9" s="949"/>
      <c r="Z9" s="949"/>
      <c r="AA9" s="949"/>
      <c r="AB9" s="949"/>
      <c r="AC9" s="949"/>
      <c r="AD9" s="949"/>
      <c r="AE9" s="949"/>
      <c r="AF9" s="955" t="s">
        <v>1001</v>
      </c>
      <c r="AG9" s="955" t="s">
        <v>1000</v>
      </c>
      <c r="AH9" s="955" t="s">
        <v>1001</v>
      </c>
      <c r="AI9" s="955" t="s">
        <v>1012</v>
      </c>
      <c r="AJ9" s="955" t="s">
        <v>494</v>
      </c>
      <c r="AK9" s="951"/>
      <c r="AL9" s="951"/>
      <c r="AM9" s="951"/>
      <c r="AN9" s="951"/>
      <c r="AO9" s="951"/>
      <c r="AP9" s="951"/>
      <c r="AQ9" s="951"/>
      <c r="AR9" s="948" t="s">
        <v>1012</v>
      </c>
      <c r="AS9" s="948" t="s">
        <v>494</v>
      </c>
      <c r="AT9" s="951"/>
      <c r="AU9" s="951"/>
      <c r="AV9" s="951"/>
      <c r="AW9" s="951"/>
      <c r="AX9" s="951"/>
      <c r="AY9" s="951"/>
      <c r="AZ9" s="951"/>
      <c r="BA9" s="948" t="s">
        <v>1012</v>
      </c>
      <c r="BB9" s="948" t="s">
        <v>494</v>
      </c>
      <c r="BC9" s="953"/>
      <c r="BD9" s="953"/>
      <c r="BE9" s="953"/>
      <c r="BF9" s="953"/>
      <c r="BG9" s="951"/>
      <c r="BH9" s="951"/>
      <c r="BI9" s="957"/>
      <c r="BJ9" s="957" t="s">
        <v>1012</v>
      </c>
      <c r="BK9" s="957" t="s">
        <v>494</v>
      </c>
      <c r="BL9" s="951" t="s">
        <v>1001</v>
      </c>
      <c r="BM9" s="951"/>
      <c r="BN9" s="951" t="s">
        <v>1000</v>
      </c>
      <c r="BO9" s="951"/>
      <c r="BP9" s="951" t="s">
        <v>1001</v>
      </c>
      <c r="BQ9" s="951"/>
      <c r="BR9" s="951" t="s">
        <v>1004</v>
      </c>
      <c r="BS9" s="948"/>
      <c r="BT9" s="953"/>
    </row>
    <row r="10" spans="1:72">
      <c r="A10" s="949"/>
      <c r="B10" s="949"/>
      <c r="C10" s="949"/>
      <c r="D10" s="950" t="s">
        <v>1072</v>
      </c>
      <c r="E10" s="950" t="s">
        <v>1073</v>
      </c>
      <c r="F10" s="948" t="s">
        <v>1074</v>
      </c>
      <c r="G10" s="948" t="s">
        <v>1075</v>
      </c>
      <c r="H10" s="948" t="s">
        <v>1076</v>
      </c>
      <c r="I10" s="948" t="s">
        <v>1077</v>
      </c>
      <c r="J10" s="948" t="s">
        <v>1078</v>
      </c>
      <c r="K10" s="948" t="s">
        <v>1079</v>
      </c>
      <c r="L10" s="948" t="s">
        <v>1080</v>
      </c>
      <c r="M10" s="952"/>
      <c r="N10" s="949" t="s">
        <v>1081</v>
      </c>
      <c r="O10" s="949"/>
      <c r="P10" s="949"/>
      <c r="Q10" s="949"/>
      <c r="R10" s="949"/>
      <c r="S10" s="949"/>
      <c r="T10" s="950" t="s">
        <v>1082</v>
      </c>
      <c r="U10" s="949" t="s">
        <v>1081</v>
      </c>
      <c r="V10" s="949"/>
      <c r="W10" s="949" t="s">
        <v>1081</v>
      </c>
      <c r="X10" s="949"/>
      <c r="Y10" s="949"/>
      <c r="Z10" s="949" t="s">
        <v>1082</v>
      </c>
      <c r="AA10" s="949"/>
      <c r="AB10" s="949"/>
      <c r="AC10" s="949"/>
      <c r="AD10" s="949"/>
      <c r="AE10" s="949"/>
      <c r="AF10" s="953" t="s">
        <v>1082</v>
      </c>
      <c r="AG10" s="953"/>
      <c r="AH10" s="953"/>
      <c r="AI10" s="953"/>
      <c r="AJ10" s="953"/>
      <c r="AK10" s="951" t="s">
        <v>1069</v>
      </c>
      <c r="AL10" s="951"/>
      <c r="AM10" s="951"/>
      <c r="AN10" s="951"/>
      <c r="AO10" s="951"/>
      <c r="AP10" s="951"/>
      <c r="AQ10" s="951"/>
      <c r="AR10" s="951"/>
      <c r="AS10" s="951"/>
      <c r="AT10" s="951"/>
      <c r="AU10" s="951"/>
      <c r="AV10" s="951"/>
      <c r="AW10" s="951"/>
      <c r="AX10" s="951"/>
      <c r="AY10" s="951"/>
      <c r="AZ10" s="951"/>
      <c r="BA10" s="951"/>
      <c r="BB10" s="951"/>
      <c r="BC10" s="954"/>
      <c r="BD10" s="954"/>
      <c r="BE10" s="954"/>
      <c r="BF10" s="954"/>
      <c r="BG10" s="954"/>
      <c r="BH10" s="954"/>
      <c r="BI10" s="954"/>
      <c r="BJ10" s="954"/>
      <c r="BK10" s="954"/>
      <c r="BL10" s="951"/>
      <c r="BM10" s="951"/>
      <c r="BN10" s="951"/>
      <c r="BO10" s="951"/>
      <c r="BP10" s="951"/>
      <c r="BQ10" s="951"/>
      <c r="BR10" s="951"/>
      <c r="BS10" s="948" t="s">
        <v>494</v>
      </c>
      <c r="BT10" s="953"/>
    </row>
    <row r="11" spans="1:72">
      <c r="A11" s="952"/>
      <c r="B11" s="952"/>
      <c r="C11" s="950"/>
      <c r="D11" s="950"/>
      <c r="E11" s="950"/>
      <c r="F11" s="948"/>
      <c r="G11" s="948"/>
      <c r="H11" s="948"/>
      <c r="I11" s="948"/>
      <c r="J11" s="948"/>
      <c r="K11" s="948"/>
      <c r="L11" s="948"/>
      <c r="M11" s="952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5"/>
      <c r="AG11" s="955"/>
      <c r="AH11" s="955"/>
      <c r="AI11" s="955"/>
      <c r="AJ11" s="955"/>
      <c r="AK11" s="948"/>
      <c r="AL11" s="948"/>
      <c r="AM11" s="948"/>
      <c r="AN11" s="948"/>
      <c r="AO11" s="948"/>
      <c r="AP11" s="948"/>
      <c r="AQ11" s="948"/>
      <c r="AR11" s="948"/>
      <c r="AS11" s="948"/>
      <c r="AT11" s="948"/>
      <c r="AU11" s="948"/>
      <c r="AV11" s="948"/>
      <c r="AW11" s="948"/>
      <c r="AX11" s="948"/>
      <c r="AY11" s="948"/>
      <c r="AZ11" s="948"/>
      <c r="BA11" s="948"/>
      <c r="BB11" s="948"/>
      <c r="BC11" s="957"/>
      <c r="BD11" s="957"/>
      <c r="BE11" s="957"/>
      <c r="BF11" s="957"/>
      <c r="BG11" s="957"/>
      <c r="BH11" s="957"/>
      <c r="BI11" s="957"/>
      <c r="BJ11" s="957"/>
      <c r="BK11" s="957"/>
      <c r="BL11" s="948"/>
      <c r="BM11" s="948"/>
      <c r="BN11" s="948"/>
      <c r="BO11" s="948"/>
      <c r="BP11" s="948"/>
      <c r="BQ11" s="948"/>
      <c r="BR11" s="948"/>
      <c r="BS11" s="948"/>
      <c r="BT11" s="955"/>
    </row>
    <row r="12" spans="1:72">
      <c r="A12" s="958" t="s">
        <v>1083</v>
      </c>
      <c r="B12" s="952"/>
      <c r="C12" s="950"/>
      <c r="D12" s="950"/>
      <c r="E12" s="950"/>
      <c r="F12" s="948"/>
      <c r="G12" s="948"/>
      <c r="H12" s="948"/>
      <c r="I12" s="948"/>
      <c r="J12" s="948"/>
      <c r="K12" s="948"/>
      <c r="L12" s="948"/>
      <c r="M12" s="952"/>
      <c r="N12" s="959" t="str">
        <f>A12</f>
        <v>Balok Lantai Dasar</v>
      </c>
      <c r="O12" s="959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5"/>
      <c r="AG12" s="955"/>
      <c r="AH12" s="955"/>
      <c r="AI12" s="955"/>
      <c r="AJ12" s="955"/>
      <c r="AK12" s="948"/>
      <c r="AL12" s="948"/>
      <c r="AM12" s="948"/>
      <c r="AN12" s="948"/>
      <c r="AO12" s="948"/>
      <c r="AP12" s="948"/>
      <c r="AQ12" s="948"/>
      <c r="AR12" s="948"/>
      <c r="AS12" s="948"/>
      <c r="AT12" s="948"/>
      <c r="AU12" s="948"/>
      <c r="AV12" s="948"/>
      <c r="AW12" s="948"/>
      <c r="AX12" s="948"/>
      <c r="AY12" s="948"/>
      <c r="AZ12" s="948"/>
      <c r="BA12" s="948"/>
      <c r="BB12" s="948"/>
      <c r="BC12" s="957"/>
      <c r="BD12" s="957"/>
      <c r="BE12" s="957"/>
      <c r="BF12" s="957"/>
      <c r="BG12" s="957"/>
      <c r="BH12" s="957"/>
      <c r="BI12" s="957"/>
      <c r="BJ12" s="957"/>
      <c r="BK12" s="957"/>
      <c r="BL12" s="948"/>
      <c r="BM12" s="948"/>
      <c r="BN12" s="948"/>
      <c r="BO12" s="948"/>
      <c r="BP12" s="948"/>
      <c r="BQ12" s="948"/>
      <c r="BR12" s="948"/>
      <c r="BS12" s="948"/>
      <c r="BT12" s="955"/>
    </row>
    <row r="13" spans="1:72">
      <c r="A13" s="960" t="s">
        <v>2</v>
      </c>
      <c r="B13" s="960" t="s">
        <v>1084</v>
      </c>
      <c r="C13" s="950"/>
      <c r="D13" s="950"/>
      <c r="E13" s="950"/>
      <c r="F13" s="948"/>
      <c r="G13" s="948"/>
      <c r="H13" s="948"/>
      <c r="I13" s="948"/>
      <c r="J13" s="948"/>
      <c r="K13" s="948"/>
      <c r="L13" s="948"/>
      <c r="M13" s="952"/>
      <c r="N13" s="959" t="str">
        <f>A13</f>
        <v>A</v>
      </c>
      <c r="O13" s="959" t="str">
        <f>B13</f>
        <v>Vertikal</v>
      </c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5"/>
      <c r="AG13" s="955"/>
      <c r="AH13" s="955"/>
      <c r="AI13" s="955"/>
      <c r="AJ13" s="955"/>
      <c r="AK13" s="948"/>
      <c r="AL13" s="948"/>
      <c r="AM13" s="948"/>
      <c r="AN13" s="948"/>
      <c r="AO13" s="948"/>
      <c r="AP13" s="948"/>
      <c r="AQ13" s="948"/>
      <c r="AR13" s="948"/>
      <c r="AS13" s="948"/>
      <c r="AT13" s="948"/>
      <c r="AU13" s="948"/>
      <c r="AV13" s="948"/>
      <c r="AW13" s="948"/>
      <c r="AX13" s="948"/>
      <c r="AY13" s="948"/>
      <c r="AZ13" s="948"/>
      <c r="BA13" s="948"/>
      <c r="BB13" s="948"/>
      <c r="BC13" s="957"/>
      <c r="BD13" s="957"/>
      <c r="BE13" s="957"/>
      <c r="BF13" s="957"/>
      <c r="BG13" s="957"/>
      <c r="BH13" s="957"/>
      <c r="BI13" s="957"/>
      <c r="BJ13" s="957"/>
      <c r="BK13" s="957"/>
      <c r="BL13" s="948"/>
      <c r="BM13" s="948"/>
      <c r="BN13" s="948"/>
      <c r="BO13" s="948"/>
      <c r="BP13" s="948"/>
      <c r="BQ13" s="948"/>
      <c r="BR13" s="948"/>
      <c r="BS13" s="948"/>
      <c r="BT13" s="955"/>
    </row>
    <row r="14" spans="1:72">
      <c r="A14" s="952">
        <v>1</v>
      </c>
      <c r="B14" s="952" t="s">
        <v>1085</v>
      </c>
      <c r="C14" s="950" t="s">
        <v>1086</v>
      </c>
      <c r="D14" s="950">
        <v>1</v>
      </c>
      <c r="E14" s="950">
        <v>1</v>
      </c>
      <c r="F14" s="948">
        <v>384</v>
      </c>
      <c r="G14" s="948">
        <v>0.3</v>
      </c>
      <c r="H14" s="948">
        <v>0.7</v>
      </c>
      <c r="I14" s="948">
        <v>0.12</v>
      </c>
      <c r="J14" s="948">
        <f t="shared" ref="J14:J23" si="0">H14-I14</f>
        <v>0.57999999999999996</v>
      </c>
      <c r="K14" s="948">
        <f t="shared" ref="K14:K22" si="1">F14*G14*J14*D14*E14</f>
        <v>66.815999999999988</v>
      </c>
      <c r="L14" s="948">
        <f t="shared" ref="L14:L19" si="2">(2*J14)*F14*E14*D14</f>
        <v>445.43999999999994</v>
      </c>
      <c r="M14" s="952"/>
      <c r="N14" s="950">
        <v>19</v>
      </c>
      <c r="O14" s="950">
        <v>19</v>
      </c>
      <c r="P14" s="950">
        <v>19</v>
      </c>
      <c r="Q14" s="950">
        <v>19</v>
      </c>
      <c r="R14" s="950">
        <v>19</v>
      </c>
      <c r="S14" s="950">
        <v>19</v>
      </c>
      <c r="T14" s="950">
        <v>8</v>
      </c>
      <c r="U14" s="950"/>
      <c r="V14" s="950"/>
      <c r="W14" s="950">
        <v>200</v>
      </c>
      <c r="X14" s="950">
        <v>100</v>
      </c>
      <c r="Y14" s="950">
        <v>100</v>
      </c>
      <c r="Z14" s="950">
        <v>9</v>
      </c>
      <c r="AA14" s="950">
        <v>6</v>
      </c>
      <c r="AB14" s="950">
        <v>6</v>
      </c>
      <c r="AC14" s="950">
        <v>6</v>
      </c>
      <c r="AD14" s="950">
        <v>9</v>
      </c>
      <c r="AE14" s="950">
        <v>6</v>
      </c>
      <c r="AF14" s="955">
        <f t="shared" ref="AF14:AF20" si="3">(F14/4)/(W14/1000)+1</f>
        <v>481</v>
      </c>
      <c r="AG14" s="955">
        <f t="shared" ref="AG14:AG23" si="4">(F14/2)/(X14/1000)+1</f>
        <v>1921</v>
      </c>
      <c r="AH14" s="955">
        <f>(F14/4)/(Y14/1000)+1</f>
        <v>961</v>
      </c>
      <c r="AI14" s="955">
        <v>0</v>
      </c>
      <c r="AJ14" s="955">
        <v>0</v>
      </c>
      <c r="AK14" s="948">
        <f t="shared" ref="AK14:AK23" si="5">(F14/4)+(20*N14/1000)+(10*N14/1000)+(8*N14/1000)+(6*2*N14/1000)</f>
        <v>96.949999999999989</v>
      </c>
      <c r="AL14" s="948">
        <f t="shared" ref="AL14:AL23" si="6">(F14/4)+(20*O14/1000)+(10*O14/1000)+(8*O14/1000)+(6*2*O14/1000)</f>
        <v>96.949999999999989</v>
      </c>
      <c r="AM14" s="948">
        <f t="shared" ref="AM14:AM23" si="7">(F14/2)+(20*P14/1000)+(6*2*P14/1000)</f>
        <v>192.608</v>
      </c>
      <c r="AN14" s="948">
        <f t="shared" ref="AN14:AN23" si="8">(F14/2)+(20*Q14/1000)+(6*2*Q14/1000)</f>
        <v>192.608</v>
      </c>
      <c r="AO14" s="948">
        <f t="shared" ref="AO14:AO23" si="9">(F14/4)+(20*R14/1000)+(10*R14/1000)+(8*R14/1000)+(6*2*R14/1000)</f>
        <v>96.949999999999989</v>
      </c>
      <c r="AP14" s="948">
        <f t="shared" ref="AP14:AP23" si="10">(F14/4)+(20*S14/1000)+(10*S14/1000)+(8*S14/1000)+(6*2*S14/1000)</f>
        <v>96.949999999999989</v>
      </c>
      <c r="AQ14" s="948">
        <f t="shared" ref="AQ14:AQ23" si="11">(2*G14)+(2*H14)+(6*T14/1000)-(8*0.03)</f>
        <v>1.8080000000000001</v>
      </c>
      <c r="AR14" s="948">
        <f t="shared" ref="AR14:AR23" si="12">((H14)+(2*6*U14/1000)-(2*0.03))*AI14</f>
        <v>0</v>
      </c>
      <c r="AS14" s="948">
        <f t="shared" ref="AS14:AS23" si="13">((G14)+(2*6*V14/1000)-(2*0.03))*AJ14</f>
        <v>0</v>
      </c>
      <c r="AT14" s="948">
        <f>AK14*Z14*E14*D14</f>
        <v>872.55</v>
      </c>
      <c r="AU14" s="948">
        <f t="shared" ref="AU14:AU23" si="14">AL14*AA14*E14*D14</f>
        <v>581.69999999999993</v>
      </c>
      <c r="AV14" s="948">
        <f t="shared" ref="AV14:AV23" si="15">AM14*AB14*E14*D14</f>
        <v>1155.6480000000001</v>
      </c>
      <c r="AW14" s="948">
        <f t="shared" ref="AW14:AW23" si="16">AN14*AC14*E14*D14</f>
        <v>1155.6480000000001</v>
      </c>
      <c r="AX14" s="948">
        <f t="shared" ref="AX14:AX23" si="17">AO14*AD14*E14*D14</f>
        <v>872.55</v>
      </c>
      <c r="AY14" s="948">
        <f t="shared" ref="AY14:AY23" si="18">AP14*AE14*E14*D14</f>
        <v>581.69999999999993</v>
      </c>
      <c r="AZ14" s="948">
        <f t="shared" ref="AZ14:AZ23" si="19">AQ14*(AF14+AG14+AH14)*E14*D14</f>
        <v>6080.3040000000001</v>
      </c>
      <c r="BA14" s="948">
        <f t="shared" ref="BA14:BA23" si="20">AR14*(AF14+AG14+AH14)*E14*D14</f>
        <v>0</v>
      </c>
      <c r="BB14" s="948">
        <f t="shared" ref="BB14:BB23" si="21">AS14*(AF14+AG14+AH14)*E14*D14</f>
        <v>0</v>
      </c>
      <c r="BC14" s="957">
        <f t="shared" ref="BC14:BJ23" si="22">N14*N14*0.074/12</f>
        <v>2.2261666666666664</v>
      </c>
      <c r="BD14" s="957">
        <f t="shared" si="22"/>
        <v>2.2261666666666664</v>
      </c>
      <c r="BE14" s="957">
        <f t="shared" si="22"/>
        <v>2.2261666666666664</v>
      </c>
      <c r="BF14" s="957">
        <f t="shared" si="22"/>
        <v>2.2261666666666664</v>
      </c>
      <c r="BG14" s="957">
        <f t="shared" si="22"/>
        <v>2.2261666666666664</v>
      </c>
      <c r="BH14" s="957">
        <f t="shared" si="22"/>
        <v>2.2261666666666664</v>
      </c>
      <c r="BI14" s="957">
        <f t="shared" si="22"/>
        <v>0.39466666666666667</v>
      </c>
      <c r="BJ14" s="957">
        <f>U14*U14*0.074/12</f>
        <v>0</v>
      </c>
      <c r="BK14" s="957">
        <f t="shared" ref="BK14:BK23" si="23">V14*V14*0.074/12</f>
        <v>0</v>
      </c>
      <c r="BL14" s="948">
        <f>AT14*BC14</f>
        <v>1942.4417249999997</v>
      </c>
      <c r="BM14" s="948">
        <f t="shared" ref="BM14:BR23" si="24">AU14*BD14</f>
        <v>1294.9611499999996</v>
      </c>
      <c r="BN14" s="948">
        <f t="shared" si="24"/>
        <v>2572.6650559999998</v>
      </c>
      <c r="BO14" s="948">
        <f t="shared" si="24"/>
        <v>2572.6650559999998</v>
      </c>
      <c r="BP14" s="948">
        <f t="shared" si="24"/>
        <v>1942.4417249999997</v>
      </c>
      <c r="BQ14" s="948">
        <f t="shared" si="24"/>
        <v>1294.9611499999996</v>
      </c>
      <c r="BR14" s="948">
        <f t="shared" si="24"/>
        <v>2399.6933119999999</v>
      </c>
      <c r="BS14" s="948">
        <f t="shared" ref="BS14:BS22" si="25">BB14*BK14</f>
        <v>0</v>
      </c>
      <c r="BT14" s="955">
        <f t="shared" ref="BT14:BT23" si="26">SUM(BL14:BS14)/K14</f>
        <v>209.82742417983718</v>
      </c>
    </row>
    <row r="15" spans="1:72">
      <c r="A15" s="952">
        <v>2</v>
      </c>
      <c r="B15" s="952" t="s">
        <v>1087</v>
      </c>
      <c r="C15" s="950" t="s">
        <v>1086</v>
      </c>
      <c r="D15" s="950">
        <v>1</v>
      </c>
      <c r="E15" s="950">
        <v>1</v>
      </c>
      <c r="F15" s="948">
        <v>64</v>
      </c>
      <c r="G15" s="948">
        <v>0.3</v>
      </c>
      <c r="H15" s="948">
        <v>0.7</v>
      </c>
      <c r="I15" s="948">
        <v>0.12</v>
      </c>
      <c r="J15" s="948">
        <f t="shared" si="0"/>
        <v>0.57999999999999996</v>
      </c>
      <c r="K15" s="948">
        <f t="shared" si="1"/>
        <v>11.135999999999999</v>
      </c>
      <c r="L15" s="948">
        <f t="shared" si="2"/>
        <v>74.239999999999995</v>
      </c>
      <c r="M15" s="952"/>
      <c r="N15" s="950">
        <v>19</v>
      </c>
      <c r="O15" s="950">
        <v>19</v>
      </c>
      <c r="P15" s="950">
        <v>19</v>
      </c>
      <c r="Q15" s="950">
        <v>19</v>
      </c>
      <c r="R15" s="950">
        <v>19</v>
      </c>
      <c r="S15" s="950">
        <v>19</v>
      </c>
      <c r="T15" s="950">
        <v>8</v>
      </c>
      <c r="U15" s="950"/>
      <c r="V15" s="950"/>
      <c r="W15" s="950">
        <v>200</v>
      </c>
      <c r="X15" s="950">
        <v>100</v>
      </c>
      <c r="Y15" s="950">
        <v>100</v>
      </c>
      <c r="Z15" s="950">
        <v>9</v>
      </c>
      <c r="AA15" s="950">
        <v>6</v>
      </c>
      <c r="AB15" s="950">
        <v>4</v>
      </c>
      <c r="AC15" s="950">
        <v>4</v>
      </c>
      <c r="AD15" s="950">
        <v>9</v>
      </c>
      <c r="AE15" s="950">
        <v>6</v>
      </c>
      <c r="AF15" s="955">
        <f t="shared" si="3"/>
        <v>81</v>
      </c>
      <c r="AG15" s="955">
        <f t="shared" si="4"/>
        <v>321</v>
      </c>
      <c r="AH15" s="955">
        <f t="shared" ref="AH15:AH23" si="27">(F15/4)/(Y15/1000)+1</f>
        <v>161</v>
      </c>
      <c r="AI15" s="955">
        <v>0</v>
      </c>
      <c r="AJ15" s="955">
        <v>0</v>
      </c>
      <c r="AK15" s="948">
        <f t="shared" si="5"/>
        <v>16.950000000000003</v>
      </c>
      <c r="AL15" s="948">
        <f t="shared" si="6"/>
        <v>16.950000000000003</v>
      </c>
      <c r="AM15" s="948">
        <f t="shared" si="7"/>
        <v>32.608000000000004</v>
      </c>
      <c r="AN15" s="948">
        <f t="shared" si="8"/>
        <v>32.608000000000004</v>
      </c>
      <c r="AO15" s="948">
        <f t="shared" si="9"/>
        <v>16.950000000000003</v>
      </c>
      <c r="AP15" s="948">
        <f t="shared" si="10"/>
        <v>16.950000000000003</v>
      </c>
      <c r="AQ15" s="948">
        <f t="shared" si="11"/>
        <v>1.8080000000000001</v>
      </c>
      <c r="AR15" s="948">
        <f t="shared" si="12"/>
        <v>0</v>
      </c>
      <c r="AS15" s="948">
        <f t="shared" si="13"/>
        <v>0</v>
      </c>
      <c r="AT15" s="948">
        <f t="shared" ref="AT15:AT23" si="28">AK15*Z15*E15*D15</f>
        <v>152.55000000000001</v>
      </c>
      <c r="AU15" s="948">
        <f t="shared" si="14"/>
        <v>101.70000000000002</v>
      </c>
      <c r="AV15" s="948">
        <f t="shared" si="15"/>
        <v>130.43200000000002</v>
      </c>
      <c r="AW15" s="948">
        <f t="shared" si="16"/>
        <v>130.43200000000002</v>
      </c>
      <c r="AX15" s="948">
        <f t="shared" si="17"/>
        <v>152.55000000000001</v>
      </c>
      <c r="AY15" s="948">
        <f t="shared" si="18"/>
        <v>101.70000000000002</v>
      </c>
      <c r="AZ15" s="948">
        <f t="shared" si="19"/>
        <v>1017.904</v>
      </c>
      <c r="BA15" s="948">
        <f t="shared" si="20"/>
        <v>0</v>
      </c>
      <c r="BB15" s="948">
        <f t="shared" si="21"/>
        <v>0</v>
      </c>
      <c r="BC15" s="957">
        <f t="shared" si="22"/>
        <v>2.2261666666666664</v>
      </c>
      <c r="BD15" s="957">
        <f t="shared" si="22"/>
        <v>2.2261666666666664</v>
      </c>
      <c r="BE15" s="957">
        <f t="shared" si="22"/>
        <v>2.2261666666666664</v>
      </c>
      <c r="BF15" s="957">
        <f t="shared" si="22"/>
        <v>2.2261666666666664</v>
      </c>
      <c r="BG15" s="957">
        <f t="shared" si="22"/>
        <v>2.2261666666666664</v>
      </c>
      <c r="BH15" s="957">
        <f t="shared" si="22"/>
        <v>2.2261666666666664</v>
      </c>
      <c r="BI15" s="957">
        <f t="shared" si="22"/>
        <v>0.39466666666666667</v>
      </c>
      <c r="BJ15" s="957">
        <f t="shared" si="22"/>
        <v>0</v>
      </c>
      <c r="BK15" s="957">
        <f t="shared" si="23"/>
        <v>0</v>
      </c>
      <c r="BL15" s="948">
        <f t="shared" ref="BL15:BL23" si="29">AT15*BC15</f>
        <v>339.60172499999999</v>
      </c>
      <c r="BM15" s="948">
        <f t="shared" si="24"/>
        <v>226.40115</v>
      </c>
      <c r="BN15" s="948">
        <f t="shared" si="24"/>
        <v>290.3633706666667</v>
      </c>
      <c r="BO15" s="948">
        <f t="shared" si="24"/>
        <v>290.3633706666667</v>
      </c>
      <c r="BP15" s="948">
        <f t="shared" si="24"/>
        <v>339.60172499999999</v>
      </c>
      <c r="BQ15" s="948">
        <f t="shared" si="24"/>
        <v>226.40115</v>
      </c>
      <c r="BR15" s="948">
        <f t="shared" si="24"/>
        <v>401.73277866666666</v>
      </c>
      <c r="BS15" s="948">
        <f t="shared" si="25"/>
        <v>0</v>
      </c>
      <c r="BT15" s="955">
        <f t="shared" si="26"/>
        <v>189.87655082614944</v>
      </c>
    </row>
    <row r="16" spans="1:72">
      <c r="A16" s="952">
        <v>3</v>
      </c>
      <c r="B16" s="952" t="s">
        <v>1088</v>
      </c>
      <c r="C16" s="950" t="s">
        <v>1089</v>
      </c>
      <c r="D16" s="950">
        <v>1</v>
      </c>
      <c r="E16" s="950">
        <v>1</v>
      </c>
      <c r="F16" s="948">
        <v>44.8</v>
      </c>
      <c r="G16" s="948">
        <v>0.3</v>
      </c>
      <c r="H16" s="948">
        <v>0.7</v>
      </c>
      <c r="I16" s="948">
        <v>0.12</v>
      </c>
      <c r="J16" s="948">
        <f t="shared" si="0"/>
        <v>0.57999999999999996</v>
      </c>
      <c r="K16" s="948">
        <f t="shared" si="1"/>
        <v>7.7951999999999995</v>
      </c>
      <c r="L16" s="948">
        <f t="shared" si="2"/>
        <v>51.967999999999996</v>
      </c>
      <c r="M16" s="952"/>
      <c r="N16" s="950">
        <v>19</v>
      </c>
      <c r="O16" s="950">
        <v>19</v>
      </c>
      <c r="P16" s="950">
        <v>19</v>
      </c>
      <c r="Q16" s="950">
        <v>19</v>
      </c>
      <c r="R16" s="950">
        <v>19</v>
      </c>
      <c r="S16" s="950">
        <v>19</v>
      </c>
      <c r="T16" s="950">
        <v>8</v>
      </c>
      <c r="U16" s="950"/>
      <c r="V16" s="950"/>
      <c r="W16" s="950">
        <v>200</v>
      </c>
      <c r="X16" s="950">
        <v>100</v>
      </c>
      <c r="Y16" s="950">
        <v>100</v>
      </c>
      <c r="Z16" s="950">
        <v>9</v>
      </c>
      <c r="AA16" s="950">
        <v>6</v>
      </c>
      <c r="AB16" s="950">
        <v>4</v>
      </c>
      <c r="AC16" s="950">
        <v>4</v>
      </c>
      <c r="AD16" s="950">
        <v>9</v>
      </c>
      <c r="AE16" s="950">
        <v>6</v>
      </c>
      <c r="AF16" s="955">
        <f t="shared" si="3"/>
        <v>56.999999999999993</v>
      </c>
      <c r="AG16" s="955">
        <f t="shared" si="4"/>
        <v>224.99999999999997</v>
      </c>
      <c r="AH16" s="955">
        <f t="shared" si="27"/>
        <v>112.99999999999999</v>
      </c>
      <c r="AI16" s="955">
        <v>0</v>
      </c>
      <c r="AJ16" s="955">
        <v>0</v>
      </c>
      <c r="AK16" s="948">
        <f t="shared" si="5"/>
        <v>12.149999999999999</v>
      </c>
      <c r="AL16" s="948">
        <f t="shared" si="6"/>
        <v>12.149999999999999</v>
      </c>
      <c r="AM16" s="948">
        <f t="shared" si="7"/>
        <v>23.007999999999999</v>
      </c>
      <c r="AN16" s="948">
        <f t="shared" si="8"/>
        <v>23.007999999999999</v>
      </c>
      <c r="AO16" s="948">
        <f t="shared" si="9"/>
        <v>12.149999999999999</v>
      </c>
      <c r="AP16" s="948">
        <f t="shared" si="10"/>
        <v>12.149999999999999</v>
      </c>
      <c r="AQ16" s="948">
        <f t="shared" si="11"/>
        <v>1.8080000000000001</v>
      </c>
      <c r="AR16" s="948">
        <f t="shared" si="12"/>
        <v>0</v>
      </c>
      <c r="AS16" s="948">
        <f t="shared" si="13"/>
        <v>0</v>
      </c>
      <c r="AT16" s="948">
        <f>AK16*Z16*E16*D16</f>
        <v>109.35</v>
      </c>
      <c r="AU16" s="948">
        <f t="shared" si="14"/>
        <v>72.899999999999991</v>
      </c>
      <c r="AV16" s="948">
        <f t="shared" si="15"/>
        <v>92.031999999999996</v>
      </c>
      <c r="AW16" s="948">
        <f t="shared" si="16"/>
        <v>92.031999999999996</v>
      </c>
      <c r="AX16" s="948">
        <f t="shared" si="17"/>
        <v>109.35</v>
      </c>
      <c r="AY16" s="948">
        <f t="shared" si="18"/>
        <v>72.899999999999991</v>
      </c>
      <c r="AZ16" s="948">
        <f t="shared" si="19"/>
        <v>714.16</v>
      </c>
      <c r="BA16" s="948">
        <f t="shared" si="20"/>
        <v>0</v>
      </c>
      <c r="BB16" s="948">
        <f t="shared" si="21"/>
        <v>0</v>
      </c>
      <c r="BC16" s="957">
        <f t="shared" si="22"/>
        <v>2.2261666666666664</v>
      </c>
      <c r="BD16" s="957">
        <f t="shared" si="22"/>
        <v>2.2261666666666664</v>
      </c>
      <c r="BE16" s="957">
        <f t="shared" si="22"/>
        <v>2.2261666666666664</v>
      </c>
      <c r="BF16" s="957">
        <f t="shared" si="22"/>
        <v>2.2261666666666664</v>
      </c>
      <c r="BG16" s="957">
        <f t="shared" si="22"/>
        <v>2.2261666666666664</v>
      </c>
      <c r="BH16" s="957">
        <f t="shared" si="22"/>
        <v>2.2261666666666664</v>
      </c>
      <c r="BI16" s="957">
        <f t="shared" si="22"/>
        <v>0.39466666666666667</v>
      </c>
      <c r="BJ16" s="957">
        <f t="shared" si="22"/>
        <v>0</v>
      </c>
      <c r="BK16" s="957">
        <f t="shared" si="23"/>
        <v>0</v>
      </c>
      <c r="BL16" s="948">
        <f t="shared" si="29"/>
        <v>243.43132499999996</v>
      </c>
      <c r="BM16" s="948">
        <f t="shared" si="24"/>
        <v>162.28754999999995</v>
      </c>
      <c r="BN16" s="948">
        <f t="shared" si="24"/>
        <v>204.87857066666663</v>
      </c>
      <c r="BO16" s="948">
        <f t="shared" si="24"/>
        <v>204.87857066666663</v>
      </c>
      <c r="BP16" s="948">
        <f t="shared" si="24"/>
        <v>243.43132499999996</v>
      </c>
      <c r="BQ16" s="948">
        <f t="shared" si="24"/>
        <v>162.28754999999995</v>
      </c>
      <c r="BR16" s="948">
        <f t="shared" si="24"/>
        <v>281.85514666666666</v>
      </c>
      <c r="BS16" s="948">
        <f t="shared" si="25"/>
        <v>0</v>
      </c>
      <c r="BT16" s="955">
        <f t="shared" si="26"/>
        <v>192.81737966954023</v>
      </c>
    </row>
    <row r="17" spans="1:72">
      <c r="A17" s="952">
        <v>4</v>
      </c>
      <c r="B17" s="952" t="s">
        <v>1090</v>
      </c>
      <c r="C17" s="950" t="s">
        <v>1091</v>
      </c>
      <c r="D17" s="950">
        <v>1</v>
      </c>
      <c r="E17" s="950">
        <v>1</v>
      </c>
      <c r="F17" s="948">
        <v>64.8</v>
      </c>
      <c r="G17" s="948">
        <v>0.3</v>
      </c>
      <c r="H17" s="948">
        <v>0.7</v>
      </c>
      <c r="I17" s="948">
        <v>0.12</v>
      </c>
      <c r="J17" s="948">
        <f t="shared" si="0"/>
        <v>0.57999999999999996</v>
      </c>
      <c r="K17" s="948">
        <f t="shared" si="1"/>
        <v>11.275199999999998</v>
      </c>
      <c r="L17" s="948">
        <f t="shared" si="2"/>
        <v>75.167999999999992</v>
      </c>
      <c r="M17" s="952"/>
      <c r="N17" s="950">
        <v>19</v>
      </c>
      <c r="O17" s="950">
        <v>19</v>
      </c>
      <c r="P17" s="950">
        <v>19</v>
      </c>
      <c r="Q17" s="950">
        <v>19</v>
      </c>
      <c r="R17" s="950">
        <v>19</v>
      </c>
      <c r="S17" s="950">
        <v>19</v>
      </c>
      <c r="T17" s="950">
        <v>8</v>
      </c>
      <c r="U17" s="950"/>
      <c r="V17" s="950"/>
      <c r="W17" s="950">
        <v>200</v>
      </c>
      <c r="X17" s="950">
        <v>100</v>
      </c>
      <c r="Y17" s="950">
        <v>100</v>
      </c>
      <c r="Z17" s="950">
        <v>9</v>
      </c>
      <c r="AA17" s="950">
        <v>6</v>
      </c>
      <c r="AB17" s="950">
        <v>4</v>
      </c>
      <c r="AC17" s="950">
        <v>4</v>
      </c>
      <c r="AD17" s="950">
        <v>9</v>
      </c>
      <c r="AE17" s="950">
        <v>6</v>
      </c>
      <c r="AF17" s="955">
        <f t="shared" si="3"/>
        <v>81.999999999999986</v>
      </c>
      <c r="AG17" s="955">
        <f t="shared" si="4"/>
        <v>324.99999999999994</v>
      </c>
      <c r="AH17" s="955">
        <f t="shared" si="27"/>
        <v>162.99999999999997</v>
      </c>
      <c r="AI17" s="955">
        <v>0</v>
      </c>
      <c r="AJ17" s="955">
        <v>0</v>
      </c>
      <c r="AK17" s="948">
        <f t="shared" si="5"/>
        <v>17.150000000000002</v>
      </c>
      <c r="AL17" s="948">
        <f t="shared" si="6"/>
        <v>17.150000000000002</v>
      </c>
      <c r="AM17" s="948">
        <f t="shared" si="7"/>
        <v>33.008000000000003</v>
      </c>
      <c r="AN17" s="948">
        <f t="shared" si="8"/>
        <v>33.008000000000003</v>
      </c>
      <c r="AO17" s="948">
        <f t="shared" si="9"/>
        <v>17.150000000000002</v>
      </c>
      <c r="AP17" s="948">
        <f t="shared" si="10"/>
        <v>17.150000000000002</v>
      </c>
      <c r="AQ17" s="948">
        <f t="shared" si="11"/>
        <v>1.8080000000000001</v>
      </c>
      <c r="AR17" s="948">
        <f t="shared" si="12"/>
        <v>0</v>
      </c>
      <c r="AS17" s="948">
        <f t="shared" si="13"/>
        <v>0</v>
      </c>
      <c r="AT17" s="948">
        <f t="shared" si="28"/>
        <v>154.35000000000002</v>
      </c>
      <c r="AU17" s="948">
        <f t="shared" si="14"/>
        <v>102.9</v>
      </c>
      <c r="AV17" s="948">
        <f t="shared" si="15"/>
        <v>132.03200000000001</v>
      </c>
      <c r="AW17" s="948">
        <f t="shared" si="16"/>
        <v>132.03200000000001</v>
      </c>
      <c r="AX17" s="948">
        <f t="shared" si="17"/>
        <v>154.35000000000002</v>
      </c>
      <c r="AY17" s="948">
        <f t="shared" si="18"/>
        <v>102.9</v>
      </c>
      <c r="AZ17" s="948">
        <f t="shared" si="19"/>
        <v>1030.5599999999997</v>
      </c>
      <c r="BA17" s="948">
        <f t="shared" si="20"/>
        <v>0</v>
      </c>
      <c r="BB17" s="948">
        <f t="shared" si="21"/>
        <v>0</v>
      </c>
      <c r="BC17" s="957">
        <f t="shared" si="22"/>
        <v>2.2261666666666664</v>
      </c>
      <c r="BD17" s="957">
        <f t="shared" si="22"/>
        <v>2.2261666666666664</v>
      </c>
      <c r="BE17" s="957">
        <f t="shared" si="22"/>
        <v>2.2261666666666664</v>
      </c>
      <c r="BF17" s="957">
        <f t="shared" si="22"/>
        <v>2.2261666666666664</v>
      </c>
      <c r="BG17" s="957">
        <f t="shared" si="22"/>
        <v>2.2261666666666664</v>
      </c>
      <c r="BH17" s="957">
        <f t="shared" si="22"/>
        <v>2.2261666666666664</v>
      </c>
      <c r="BI17" s="957">
        <f t="shared" si="22"/>
        <v>0.39466666666666667</v>
      </c>
      <c r="BJ17" s="957">
        <f t="shared" si="22"/>
        <v>0</v>
      </c>
      <c r="BK17" s="957">
        <f t="shared" si="23"/>
        <v>0</v>
      </c>
      <c r="BL17" s="948">
        <f t="shared" si="29"/>
        <v>343.60882500000002</v>
      </c>
      <c r="BM17" s="948">
        <f t="shared" si="24"/>
        <v>229.07254999999998</v>
      </c>
      <c r="BN17" s="948">
        <f t="shared" si="24"/>
        <v>293.92523733333331</v>
      </c>
      <c r="BO17" s="948">
        <f t="shared" si="24"/>
        <v>293.92523733333331</v>
      </c>
      <c r="BP17" s="948">
        <f t="shared" si="24"/>
        <v>343.60882500000002</v>
      </c>
      <c r="BQ17" s="948">
        <f t="shared" si="24"/>
        <v>229.07254999999998</v>
      </c>
      <c r="BR17" s="948">
        <f t="shared" si="24"/>
        <v>406.72767999999991</v>
      </c>
      <c r="BS17" s="948">
        <f t="shared" si="25"/>
        <v>0</v>
      </c>
      <c r="BT17" s="955">
        <f t="shared" si="26"/>
        <v>189.7918355919777</v>
      </c>
    </row>
    <row r="18" spans="1:72">
      <c r="A18" s="952">
        <v>5</v>
      </c>
      <c r="B18" s="952" t="s">
        <v>1092</v>
      </c>
      <c r="C18" s="950" t="s">
        <v>1093</v>
      </c>
      <c r="D18" s="950">
        <v>1</v>
      </c>
      <c r="E18" s="950">
        <v>1</v>
      </c>
      <c r="F18" s="948">
        <v>80</v>
      </c>
      <c r="G18" s="948">
        <v>0.25</v>
      </c>
      <c r="H18" s="948">
        <v>0.6</v>
      </c>
      <c r="I18" s="948">
        <v>0.12</v>
      </c>
      <c r="J18" s="948">
        <f t="shared" si="0"/>
        <v>0.48</v>
      </c>
      <c r="K18" s="948">
        <f t="shared" si="1"/>
        <v>9.6</v>
      </c>
      <c r="L18" s="948">
        <f t="shared" si="2"/>
        <v>76.8</v>
      </c>
      <c r="M18" s="952"/>
      <c r="N18" s="950">
        <v>16</v>
      </c>
      <c r="O18" s="950">
        <v>16</v>
      </c>
      <c r="P18" s="950">
        <v>16</v>
      </c>
      <c r="Q18" s="950">
        <v>16</v>
      </c>
      <c r="R18" s="950">
        <v>16</v>
      </c>
      <c r="S18" s="950">
        <v>16</v>
      </c>
      <c r="T18" s="950">
        <v>8</v>
      </c>
      <c r="U18" s="950"/>
      <c r="V18" s="950"/>
      <c r="W18" s="950">
        <v>200</v>
      </c>
      <c r="X18" s="950">
        <v>100</v>
      </c>
      <c r="Y18" s="950">
        <v>100</v>
      </c>
      <c r="Z18" s="950">
        <v>9</v>
      </c>
      <c r="AA18" s="950">
        <v>6</v>
      </c>
      <c r="AB18" s="950">
        <v>4</v>
      </c>
      <c r="AC18" s="950">
        <v>4</v>
      </c>
      <c r="AD18" s="950">
        <v>9</v>
      </c>
      <c r="AE18" s="950">
        <v>6</v>
      </c>
      <c r="AF18" s="955">
        <f t="shared" si="3"/>
        <v>101</v>
      </c>
      <c r="AG18" s="955">
        <f t="shared" si="4"/>
        <v>401</v>
      </c>
      <c r="AH18" s="955">
        <f t="shared" si="27"/>
        <v>201</v>
      </c>
      <c r="AI18" s="955">
        <v>0</v>
      </c>
      <c r="AJ18" s="955">
        <v>0</v>
      </c>
      <c r="AK18" s="948">
        <f t="shared" si="5"/>
        <v>20.8</v>
      </c>
      <c r="AL18" s="948">
        <f t="shared" si="6"/>
        <v>20.8</v>
      </c>
      <c r="AM18" s="948">
        <f t="shared" si="7"/>
        <v>40.512</v>
      </c>
      <c r="AN18" s="948">
        <f t="shared" si="8"/>
        <v>40.512</v>
      </c>
      <c r="AO18" s="948">
        <f t="shared" si="9"/>
        <v>20.8</v>
      </c>
      <c r="AP18" s="948">
        <f t="shared" si="10"/>
        <v>20.8</v>
      </c>
      <c r="AQ18" s="948">
        <f t="shared" si="11"/>
        <v>1.508</v>
      </c>
      <c r="AR18" s="948">
        <f t="shared" si="12"/>
        <v>0</v>
      </c>
      <c r="AS18" s="948">
        <f t="shared" si="13"/>
        <v>0</v>
      </c>
      <c r="AT18" s="948">
        <f t="shared" si="28"/>
        <v>187.20000000000002</v>
      </c>
      <c r="AU18" s="948">
        <f t="shared" si="14"/>
        <v>124.80000000000001</v>
      </c>
      <c r="AV18" s="948">
        <f t="shared" si="15"/>
        <v>162.048</v>
      </c>
      <c r="AW18" s="948">
        <f t="shared" si="16"/>
        <v>162.048</v>
      </c>
      <c r="AX18" s="948">
        <f t="shared" si="17"/>
        <v>187.20000000000002</v>
      </c>
      <c r="AY18" s="948">
        <f t="shared" si="18"/>
        <v>124.80000000000001</v>
      </c>
      <c r="AZ18" s="948">
        <f t="shared" si="19"/>
        <v>1060.124</v>
      </c>
      <c r="BA18" s="948">
        <f t="shared" si="20"/>
        <v>0</v>
      </c>
      <c r="BB18" s="948">
        <f t="shared" si="21"/>
        <v>0</v>
      </c>
      <c r="BC18" s="957">
        <f t="shared" si="22"/>
        <v>1.5786666666666667</v>
      </c>
      <c r="BD18" s="957">
        <f t="shared" si="22"/>
        <v>1.5786666666666667</v>
      </c>
      <c r="BE18" s="957">
        <f t="shared" si="22"/>
        <v>1.5786666666666667</v>
      </c>
      <c r="BF18" s="957">
        <f t="shared" si="22"/>
        <v>1.5786666666666667</v>
      </c>
      <c r="BG18" s="957">
        <f t="shared" si="22"/>
        <v>1.5786666666666667</v>
      </c>
      <c r="BH18" s="957">
        <f t="shared" si="22"/>
        <v>1.5786666666666667</v>
      </c>
      <c r="BI18" s="957">
        <f t="shared" si="22"/>
        <v>0.39466666666666667</v>
      </c>
      <c r="BJ18" s="957">
        <f t="shared" si="22"/>
        <v>0</v>
      </c>
      <c r="BK18" s="957">
        <f t="shared" si="23"/>
        <v>0</v>
      </c>
      <c r="BL18" s="948">
        <f t="shared" si="29"/>
        <v>295.52640000000002</v>
      </c>
      <c r="BM18" s="948">
        <f t="shared" si="24"/>
        <v>197.01760000000002</v>
      </c>
      <c r="BN18" s="948">
        <f t="shared" si="24"/>
        <v>255.81977599999999</v>
      </c>
      <c r="BO18" s="948">
        <f t="shared" si="24"/>
        <v>255.81977599999999</v>
      </c>
      <c r="BP18" s="948">
        <f t="shared" si="24"/>
        <v>295.52640000000002</v>
      </c>
      <c r="BQ18" s="948">
        <f t="shared" si="24"/>
        <v>197.01760000000002</v>
      </c>
      <c r="BR18" s="948">
        <f t="shared" si="24"/>
        <v>418.39560533333332</v>
      </c>
      <c r="BS18" s="948">
        <f t="shared" si="25"/>
        <v>0</v>
      </c>
      <c r="BT18" s="955">
        <f t="shared" si="26"/>
        <v>199.49199555555555</v>
      </c>
    </row>
    <row r="19" spans="1:72">
      <c r="A19" s="952">
        <v>6</v>
      </c>
      <c r="B19" s="952" t="s">
        <v>1094</v>
      </c>
      <c r="C19" s="950" t="s">
        <v>1095</v>
      </c>
      <c r="D19" s="950">
        <v>1</v>
      </c>
      <c r="E19" s="950">
        <v>1</v>
      </c>
      <c r="F19" s="948">
        <v>80</v>
      </c>
      <c r="G19" s="948">
        <v>0.3</v>
      </c>
      <c r="H19" s="948">
        <v>0.7</v>
      </c>
      <c r="I19" s="948">
        <v>0.12</v>
      </c>
      <c r="J19" s="948">
        <f t="shared" si="0"/>
        <v>0.57999999999999996</v>
      </c>
      <c r="K19" s="948">
        <f t="shared" si="1"/>
        <v>13.919999999999998</v>
      </c>
      <c r="L19" s="948">
        <f t="shared" si="2"/>
        <v>92.8</v>
      </c>
      <c r="M19" s="952"/>
      <c r="N19" s="950">
        <v>25</v>
      </c>
      <c r="O19" s="950">
        <v>25</v>
      </c>
      <c r="P19" s="950">
        <v>25</v>
      </c>
      <c r="Q19" s="950">
        <v>25</v>
      </c>
      <c r="R19" s="950">
        <v>25</v>
      </c>
      <c r="S19" s="950">
        <v>25</v>
      </c>
      <c r="T19" s="950">
        <v>8</v>
      </c>
      <c r="U19" s="950"/>
      <c r="V19" s="950"/>
      <c r="W19" s="950">
        <v>200</v>
      </c>
      <c r="X19" s="950">
        <v>100</v>
      </c>
      <c r="Y19" s="950">
        <v>100</v>
      </c>
      <c r="Z19" s="950">
        <v>9</v>
      </c>
      <c r="AA19" s="950">
        <v>6</v>
      </c>
      <c r="AB19" s="950">
        <v>4</v>
      </c>
      <c r="AC19" s="950">
        <v>4</v>
      </c>
      <c r="AD19" s="950">
        <v>9</v>
      </c>
      <c r="AE19" s="950">
        <v>6</v>
      </c>
      <c r="AF19" s="955">
        <f t="shared" si="3"/>
        <v>101</v>
      </c>
      <c r="AG19" s="955">
        <f t="shared" si="4"/>
        <v>401</v>
      </c>
      <c r="AH19" s="955">
        <f t="shared" si="27"/>
        <v>201</v>
      </c>
      <c r="AI19" s="955">
        <v>0</v>
      </c>
      <c r="AJ19" s="955">
        <v>0</v>
      </c>
      <c r="AK19" s="948">
        <f t="shared" si="5"/>
        <v>21.25</v>
      </c>
      <c r="AL19" s="948">
        <f t="shared" si="6"/>
        <v>21.25</v>
      </c>
      <c r="AM19" s="948">
        <f t="shared" si="7"/>
        <v>40.799999999999997</v>
      </c>
      <c r="AN19" s="948">
        <f t="shared" si="8"/>
        <v>40.799999999999997</v>
      </c>
      <c r="AO19" s="948">
        <f t="shared" si="9"/>
        <v>21.25</v>
      </c>
      <c r="AP19" s="948">
        <f t="shared" si="10"/>
        <v>21.25</v>
      </c>
      <c r="AQ19" s="948">
        <f t="shared" si="11"/>
        <v>1.8080000000000001</v>
      </c>
      <c r="AR19" s="948">
        <f t="shared" si="12"/>
        <v>0</v>
      </c>
      <c r="AS19" s="948">
        <f t="shared" si="13"/>
        <v>0</v>
      </c>
      <c r="AT19" s="948">
        <f t="shared" si="28"/>
        <v>191.25</v>
      </c>
      <c r="AU19" s="948">
        <f t="shared" si="14"/>
        <v>127.5</v>
      </c>
      <c r="AV19" s="948">
        <f t="shared" si="15"/>
        <v>163.19999999999999</v>
      </c>
      <c r="AW19" s="948">
        <f t="shared" si="16"/>
        <v>163.19999999999999</v>
      </c>
      <c r="AX19" s="948">
        <f t="shared" si="17"/>
        <v>191.25</v>
      </c>
      <c r="AY19" s="948">
        <f t="shared" si="18"/>
        <v>127.5</v>
      </c>
      <c r="AZ19" s="948">
        <f t="shared" si="19"/>
        <v>1271.0240000000001</v>
      </c>
      <c r="BA19" s="948">
        <f t="shared" si="20"/>
        <v>0</v>
      </c>
      <c r="BB19" s="948">
        <f t="shared" si="21"/>
        <v>0</v>
      </c>
      <c r="BC19" s="957">
        <f t="shared" si="22"/>
        <v>3.8541666666666665</v>
      </c>
      <c r="BD19" s="957">
        <f t="shared" si="22"/>
        <v>3.8541666666666665</v>
      </c>
      <c r="BE19" s="957">
        <f t="shared" si="22"/>
        <v>3.8541666666666665</v>
      </c>
      <c r="BF19" s="957">
        <f t="shared" si="22"/>
        <v>3.8541666666666665</v>
      </c>
      <c r="BG19" s="957">
        <f t="shared" si="22"/>
        <v>3.8541666666666665</v>
      </c>
      <c r="BH19" s="957">
        <f t="shared" si="22"/>
        <v>3.8541666666666665</v>
      </c>
      <c r="BI19" s="957">
        <f t="shared" si="22"/>
        <v>0.39466666666666667</v>
      </c>
      <c r="BJ19" s="957">
        <f t="shared" si="22"/>
        <v>0</v>
      </c>
      <c r="BK19" s="957">
        <f t="shared" si="23"/>
        <v>0</v>
      </c>
      <c r="BL19" s="948">
        <f t="shared" si="29"/>
        <v>737.109375</v>
      </c>
      <c r="BM19" s="948">
        <f t="shared" si="24"/>
        <v>491.40625</v>
      </c>
      <c r="BN19" s="948">
        <f t="shared" si="24"/>
        <v>628.99999999999989</v>
      </c>
      <c r="BO19" s="948">
        <f t="shared" si="24"/>
        <v>628.99999999999989</v>
      </c>
      <c r="BP19" s="948">
        <f t="shared" si="24"/>
        <v>737.109375</v>
      </c>
      <c r="BQ19" s="948">
        <f t="shared" si="24"/>
        <v>491.40625</v>
      </c>
      <c r="BR19" s="948">
        <f t="shared" si="24"/>
        <v>501.6308053333334</v>
      </c>
      <c r="BS19" s="948">
        <f t="shared" si="25"/>
        <v>0</v>
      </c>
      <c r="BT19" s="955">
        <f t="shared" si="26"/>
        <v>302.92112466475101</v>
      </c>
    </row>
    <row r="20" spans="1:72">
      <c r="A20" s="952">
        <v>7</v>
      </c>
      <c r="B20" s="952" t="s">
        <v>1096</v>
      </c>
      <c r="C20" s="950" t="s">
        <v>1097</v>
      </c>
      <c r="D20" s="950">
        <v>1</v>
      </c>
      <c r="E20" s="950">
        <v>1</v>
      </c>
      <c r="F20" s="948">
        <v>64</v>
      </c>
      <c r="G20" s="948">
        <f>G19</f>
        <v>0.3</v>
      </c>
      <c r="H20" s="948">
        <f>H19</f>
        <v>0.7</v>
      </c>
      <c r="I20" s="948">
        <v>0.12</v>
      </c>
      <c r="J20" s="948">
        <f t="shared" si="0"/>
        <v>0.57999999999999996</v>
      </c>
      <c r="K20" s="948">
        <f t="shared" si="1"/>
        <v>11.135999999999999</v>
      </c>
      <c r="L20" s="948">
        <f>(2*J20)*F20*E20*D20</f>
        <v>74.239999999999995</v>
      </c>
      <c r="M20" s="952"/>
      <c r="N20" s="950">
        <v>19</v>
      </c>
      <c r="O20" s="950">
        <v>19</v>
      </c>
      <c r="P20" s="950">
        <v>19</v>
      </c>
      <c r="Q20" s="950">
        <v>19</v>
      </c>
      <c r="R20" s="950">
        <v>19</v>
      </c>
      <c r="S20" s="950">
        <v>19</v>
      </c>
      <c r="T20" s="950">
        <v>8</v>
      </c>
      <c r="U20" s="950"/>
      <c r="V20" s="950"/>
      <c r="W20" s="950">
        <v>200</v>
      </c>
      <c r="X20" s="950">
        <v>100</v>
      </c>
      <c r="Y20" s="950">
        <v>100</v>
      </c>
      <c r="Z20" s="950">
        <v>9</v>
      </c>
      <c r="AA20" s="950">
        <v>6</v>
      </c>
      <c r="AB20" s="950">
        <v>4</v>
      </c>
      <c r="AC20" s="950">
        <v>4</v>
      </c>
      <c r="AD20" s="950">
        <v>9</v>
      </c>
      <c r="AE20" s="950">
        <v>6</v>
      </c>
      <c r="AF20" s="955">
        <f t="shared" si="3"/>
        <v>81</v>
      </c>
      <c r="AG20" s="955">
        <f t="shared" si="4"/>
        <v>321</v>
      </c>
      <c r="AH20" s="955">
        <f t="shared" si="27"/>
        <v>161</v>
      </c>
      <c r="AI20" s="955">
        <v>0</v>
      </c>
      <c r="AJ20" s="955">
        <v>0</v>
      </c>
      <c r="AK20" s="948">
        <f t="shared" si="5"/>
        <v>16.950000000000003</v>
      </c>
      <c r="AL20" s="948">
        <f t="shared" si="6"/>
        <v>16.950000000000003</v>
      </c>
      <c r="AM20" s="948">
        <f t="shared" si="7"/>
        <v>32.608000000000004</v>
      </c>
      <c r="AN20" s="948">
        <f t="shared" si="8"/>
        <v>32.608000000000004</v>
      </c>
      <c r="AO20" s="948">
        <f t="shared" si="9"/>
        <v>16.950000000000003</v>
      </c>
      <c r="AP20" s="948">
        <f t="shared" si="10"/>
        <v>16.950000000000003</v>
      </c>
      <c r="AQ20" s="948">
        <f t="shared" si="11"/>
        <v>1.8080000000000001</v>
      </c>
      <c r="AR20" s="948">
        <f t="shared" si="12"/>
        <v>0</v>
      </c>
      <c r="AS20" s="948">
        <f t="shared" si="13"/>
        <v>0</v>
      </c>
      <c r="AT20" s="948">
        <f t="shared" si="28"/>
        <v>152.55000000000001</v>
      </c>
      <c r="AU20" s="948">
        <f t="shared" si="14"/>
        <v>101.70000000000002</v>
      </c>
      <c r="AV20" s="948">
        <f t="shared" si="15"/>
        <v>130.43200000000002</v>
      </c>
      <c r="AW20" s="948">
        <f t="shared" si="16"/>
        <v>130.43200000000002</v>
      </c>
      <c r="AX20" s="948">
        <f t="shared" si="17"/>
        <v>152.55000000000001</v>
      </c>
      <c r="AY20" s="948">
        <f t="shared" si="18"/>
        <v>101.70000000000002</v>
      </c>
      <c r="AZ20" s="948">
        <f t="shared" si="19"/>
        <v>1017.904</v>
      </c>
      <c r="BA20" s="948">
        <f t="shared" si="20"/>
        <v>0</v>
      </c>
      <c r="BB20" s="948">
        <f t="shared" si="21"/>
        <v>0</v>
      </c>
      <c r="BC20" s="957">
        <f t="shared" si="22"/>
        <v>2.2261666666666664</v>
      </c>
      <c r="BD20" s="957">
        <f t="shared" si="22"/>
        <v>2.2261666666666664</v>
      </c>
      <c r="BE20" s="957">
        <f t="shared" si="22"/>
        <v>2.2261666666666664</v>
      </c>
      <c r="BF20" s="957">
        <f t="shared" si="22"/>
        <v>2.2261666666666664</v>
      </c>
      <c r="BG20" s="957">
        <f t="shared" si="22"/>
        <v>2.2261666666666664</v>
      </c>
      <c r="BH20" s="957">
        <f t="shared" si="22"/>
        <v>2.2261666666666664</v>
      </c>
      <c r="BI20" s="957">
        <f t="shared" si="22"/>
        <v>0.39466666666666667</v>
      </c>
      <c r="BJ20" s="957">
        <f t="shared" si="22"/>
        <v>0</v>
      </c>
      <c r="BK20" s="957">
        <f t="shared" si="23"/>
        <v>0</v>
      </c>
      <c r="BL20" s="948">
        <f t="shared" si="29"/>
        <v>339.60172499999999</v>
      </c>
      <c r="BM20" s="948">
        <f t="shared" si="24"/>
        <v>226.40115</v>
      </c>
      <c r="BN20" s="948">
        <f t="shared" si="24"/>
        <v>290.3633706666667</v>
      </c>
      <c r="BO20" s="948">
        <f t="shared" si="24"/>
        <v>290.3633706666667</v>
      </c>
      <c r="BP20" s="948">
        <f t="shared" si="24"/>
        <v>339.60172499999999</v>
      </c>
      <c r="BQ20" s="948">
        <f>AY20*BH20</f>
        <v>226.40115</v>
      </c>
      <c r="BR20" s="948">
        <f t="shared" si="24"/>
        <v>401.73277866666666</v>
      </c>
      <c r="BS20" s="948">
        <f t="shared" si="25"/>
        <v>0</v>
      </c>
      <c r="BT20" s="955">
        <f t="shared" si="26"/>
        <v>189.87655082614944</v>
      </c>
    </row>
    <row r="21" spans="1:72">
      <c r="A21" s="952">
        <v>8</v>
      </c>
      <c r="B21" s="952" t="s">
        <v>1098</v>
      </c>
      <c r="C21" s="950" t="s">
        <v>1099</v>
      </c>
      <c r="D21" s="950">
        <v>1</v>
      </c>
      <c r="E21" s="950">
        <v>1</v>
      </c>
      <c r="F21" s="948">
        <v>56</v>
      </c>
      <c r="G21" s="948">
        <v>0.25</v>
      </c>
      <c r="H21" s="948">
        <v>0.6</v>
      </c>
      <c r="I21" s="948">
        <v>0.12</v>
      </c>
      <c r="J21" s="948">
        <f t="shared" si="0"/>
        <v>0.48</v>
      </c>
      <c r="K21" s="948">
        <f t="shared" si="1"/>
        <v>6.72</v>
      </c>
      <c r="L21" s="948">
        <f>(2*J21)*F21*E21*D21</f>
        <v>53.76</v>
      </c>
      <c r="M21" s="952"/>
      <c r="N21" s="950">
        <v>16</v>
      </c>
      <c r="O21" s="950">
        <v>16</v>
      </c>
      <c r="P21" s="950">
        <v>16</v>
      </c>
      <c r="Q21" s="950">
        <v>16</v>
      </c>
      <c r="R21" s="950">
        <v>16</v>
      </c>
      <c r="S21" s="950">
        <v>16</v>
      </c>
      <c r="T21" s="950">
        <v>8</v>
      </c>
      <c r="U21" s="950"/>
      <c r="V21" s="950"/>
      <c r="W21" s="950">
        <v>200</v>
      </c>
      <c r="X21" s="950">
        <v>100</v>
      </c>
      <c r="Y21" s="950">
        <v>100</v>
      </c>
      <c r="Z21" s="950">
        <v>9</v>
      </c>
      <c r="AA21" s="950">
        <v>6</v>
      </c>
      <c r="AB21" s="950">
        <v>4</v>
      </c>
      <c r="AC21" s="950">
        <v>4</v>
      </c>
      <c r="AD21" s="950">
        <v>9</v>
      </c>
      <c r="AE21" s="950">
        <v>6</v>
      </c>
      <c r="AF21" s="955">
        <f>(F21/4)/(W21/1000)+1</f>
        <v>71</v>
      </c>
      <c r="AG21" s="955">
        <f t="shared" si="4"/>
        <v>281</v>
      </c>
      <c r="AH21" s="955">
        <f t="shared" si="27"/>
        <v>141</v>
      </c>
      <c r="AI21" s="955">
        <v>0</v>
      </c>
      <c r="AJ21" s="955">
        <v>0</v>
      </c>
      <c r="AK21" s="948">
        <f t="shared" si="5"/>
        <v>14.8</v>
      </c>
      <c r="AL21" s="948">
        <f t="shared" si="6"/>
        <v>14.8</v>
      </c>
      <c r="AM21" s="948">
        <f t="shared" si="7"/>
        <v>28.512</v>
      </c>
      <c r="AN21" s="948">
        <f t="shared" si="8"/>
        <v>28.512</v>
      </c>
      <c r="AO21" s="948">
        <f t="shared" si="9"/>
        <v>14.8</v>
      </c>
      <c r="AP21" s="948">
        <f t="shared" si="10"/>
        <v>14.8</v>
      </c>
      <c r="AQ21" s="948">
        <f t="shared" si="11"/>
        <v>1.508</v>
      </c>
      <c r="AR21" s="948">
        <f t="shared" si="12"/>
        <v>0</v>
      </c>
      <c r="AS21" s="948">
        <f t="shared" si="13"/>
        <v>0</v>
      </c>
      <c r="AT21" s="948">
        <f t="shared" si="28"/>
        <v>133.20000000000002</v>
      </c>
      <c r="AU21" s="948">
        <f t="shared" si="14"/>
        <v>88.800000000000011</v>
      </c>
      <c r="AV21" s="948">
        <f t="shared" si="15"/>
        <v>114.048</v>
      </c>
      <c r="AW21" s="948">
        <f t="shared" si="16"/>
        <v>114.048</v>
      </c>
      <c r="AX21" s="948">
        <f t="shared" si="17"/>
        <v>133.20000000000002</v>
      </c>
      <c r="AY21" s="948">
        <f t="shared" si="18"/>
        <v>88.800000000000011</v>
      </c>
      <c r="AZ21" s="948">
        <f t="shared" si="19"/>
        <v>743.44399999999996</v>
      </c>
      <c r="BA21" s="948">
        <f t="shared" si="20"/>
        <v>0</v>
      </c>
      <c r="BB21" s="948">
        <f t="shared" si="21"/>
        <v>0</v>
      </c>
      <c r="BC21" s="957">
        <f t="shared" si="22"/>
        <v>1.5786666666666667</v>
      </c>
      <c r="BD21" s="957">
        <f t="shared" si="22"/>
        <v>1.5786666666666667</v>
      </c>
      <c r="BE21" s="957">
        <f t="shared" si="22"/>
        <v>1.5786666666666667</v>
      </c>
      <c r="BF21" s="957">
        <f t="shared" si="22"/>
        <v>1.5786666666666667</v>
      </c>
      <c r="BG21" s="957">
        <f t="shared" si="22"/>
        <v>1.5786666666666667</v>
      </c>
      <c r="BH21" s="957">
        <f t="shared" si="22"/>
        <v>1.5786666666666667</v>
      </c>
      <c r="BI21" s="957">
        <f t="shared" si="22"/>
        <v>0.39466666666666667</v>
      </c>
      <c r="BJ21" s="957">
        <f t="shared" si="22"/>
        <v>0</v>
      </c>
      <c r="BK21" s="957">
        <f t="shared" si="23"/>
        <v>0</v>
      </c>
      <c r="BL21" s="948">
        <f t="shared" si="29"/>
        <v>210.27840000000003</v>
      </c>
      <c r="BM21" s="948">
        <f t="shared" si="24"/>
        <v>140.18560000000002</v>
      </c>
      <c r="BN21" s="948">
        <f t="shared" si="24"/>
        <v>180.04377600000001</v>
      </c>
      <c r="BO21" s="948">
        <f t="shared" si="24"/>
        <v>180.04377600000001</v>
      </c>
      <c r="BP21" s="948">
        <f t="shared" si="24"/>
        <v>210.27840000000003</v>
      </c>
      <c r="BQ21" s="948">
        <f t="shared" si="24"/>
        <v>140.18560000000002</v>
      </c>
      <c r="BR21" s="948">
        <f t="shared" si="24"/>
        <v>293.4125653333333</v>
      </c>
      <c r="BS21" s="948">
        <f t="shared" si="25"/>
        <v>0</v>
      </c>
      <c r="BT21" s="955">
        <f t="shared" si="26"/>
        <v>201.55180317460318</v>
      </c>
    </row>
    <row r="22" spans="1:72">
      <c r="A22" s="952">
        <v>9</v>
      </c>
      <c r="B22" s="952" t="s">
        <v>1100</v>
      </c>
      <c r="C22" s="950" t="s">
        <v>1101</v>
      </c>
      <c r="D22" s="950">
        <v>1</v>
      </c>
      <c r="E22" s="950">
        <v>1</v>
      </c>
      <c r="F22" s="948">
        <v>28</v>
      </c>
      <c r="G22" s="948">
        <f>G21</f>
        <v>0.25</v>
      </c>
      <c r="H22" s="948">
        <v>0.6</v>
      </c>
      <c r="I22" s="948">
        <v>0.12</v>
      </c>
      <c r="J22" s="948">
        <f t="shared" si="0"/>
        <v>0.48</v>
      </c>
      <c r="K22" s="948">
        <f t="shared" si="1"/>
        <v>3.36</v>
      </c>
      <c r="L22" s="948">
        <f>(2*J22)*F22*E22*D22</f>
        <v>26.88</v>
      </c>
      <c r="M22" s="952"/>
      <c r="N22" s="950">
        <v>16</v>
      </c>
      <c r="O22" s="950">
        <v>16</v>
      </c>
      <c r="P22" s="950">
        <v>16</v>
      </c>
      <c r="Q22" s="950">
        <v>16</v>
      </c>
      <c r="R22" s="950">
        <v>16</v>
      </c>
      <c r="S22" s="950">
        <v>16</v>
      </c>
      <c r="T22" s="950">
        <v>8</v>
      </c>
      <c r="U22" s="950"/>
      <c r="V22" s="950"/>
      <c r="W22" s="950">
        <v>200</v>
      </c>
      <c r="X22" s="950">
        <v>100</v>
      </c>
      <c r="Y22" s="950">
        <v>100</v>
      </c>
      <c r="Z22" s="950">
        <v>9</v>
      </c>
      <c r="AA22" s="950">
        <v>6</v>
      </c>
      <c r="AB22" s="950">
        <v>4</v>
      </c>
      <c r="AC22" s="950">
        <v>4</v>
      </c>
      <c r="AD22" s="950">
        <v>9</v>
      </c>
      <c r="AE22" s="950">
        <v>6</v>
      </c>
      <c r="AF22" s="955">
        <f>(F22/4)/(W22/1000)+1</f>
        <v>36</v>
      </c>
      <c r="AG22" s="955">
        <f t="shared" si="4"/>
        <v>141</v>
      </c>
      <c r="AH22" s="955">
        <f t="shared" si="27"/>
        <v>71</v>
      </c>
      <c r="AI22" s="955">
        <v>0</v>
      </c>
      <c r="AJ22" s="955">
        <v>0</v>
      </c>
      <c r="AK22" s="948">
        <f t="shared" si="5"/>
        <v>7.8000000000000007</v>
      </c>
      <c r="AL22" s="948">
        <f t="shared" si="6"/>
        <v>7.8000000000000007</v>
      </c>
      <c r="AM22" s="948">
        <f t="shared" si="7"/>
        <v>14.512</v>
      </c>
      <c r="AN22" s="948">
        <f t="shared" si="8"/>
        <v>14.512</v>
      </c>
      <c r="AO22" s="948">
        <f t="shared" si="9"/>
        <v>7.8000000000000007</v>
      </c>
      <c r="AP22" s="948">
        <f t="shared" si="10"/>
        <v>7.8000000000000007</v>
      </c>
      <c r="AQ22" s="948">
        <f t="shared" si="11"/>
        <v>1.508</v>
      </c>
      <c r="AR22" s="948">
        <f t="shared" si="12"/>
        <v>0</v>
      </c>
      <c r="AS22" s="948">
        <f t="shared" si="13"/>
        <v>0</v>
      </c>
      <c r="AT22" s="948">
        <f t="shared" si="28"/>
        <v>70.2</v>
      </c>
      <c r="AU22" s="948">
        <f t="shared" si="14"/>
        <v>46.800000000000004</v>
      </c>
      <c r="AV22" s="948">
        <f t="shared" si="15"/>
        <v>58.048000000000002</v>
      </c>
      <c r="AW22" s="948">
        <f t="shared" si="16"/>
        <v>58.048000000000002</v>
      </c>
      <c r="AX22" s="948">
        <f t="shared" si="17"/>
        <v>70.2</v>
      </c>
      <c r="AY22" s="948">
        <f t="shared" si="18"/>
        <v>46.800000000000004</v>
      </c>
      <c r="AZ22" s="948">
        <f t="shared" si="19"/>
        <v>373.98399999999998</v>
      </c>
      <c r="BA22" s="948">
        <f t="shared" si="20"/>
        <v>0</v>
      </c>
      <c r="BB22" s="948">
        <f t="shared" si="21"/>
        <v>0</v>
      </c>
      <c r="BC22" s="957">
        <f t="shared" si="22"/>
        <v>1.5786666666666667</v>
      </c>
      <c r="BD22" s="957">
        <f t="shared" si="22"/>
        <v>1.5786666666666667</v>
      </c>
      <c r="BE22" s="957">
        <f t="shared" si="22"/>
        <v>1.5786666666666667</v>
      </c>
      <c r="BF22" s="957">
        <f t="shared" si="22"/>
        <v>1.5786666666666667</v>
      </c>
      <c r="BG22" s="957">
        <f t="shared" si="22"/>
        <v>1.5786666666666667</v>
      </c>
      <c r="BH22" s="957">
        <f t="shared" si="22"/>
        <v>1.5786666666666667</v>
      </c>
      <c r="BI22" s="957">
        <f t="shared" si="22"/>
        <v>0.39466666666666667</v>
      </c>
      <c r="BJ22" s="957">
        <f t="shared" si="22"/>
        <v>0</v>
      </c>
      <c r="BK22" s="957">
        <f t="shared" si="23"/>
        <v>0</v>
      </c>
      <c r="BL22" s="948">
        <f t="shared" si="29"/>
        <v>110.8224</v>
      </c>
      <c r="BM22" s="948">
        <f t="shared" si="24"/>
        <v>73.881600000000006</v>
      </c>
      <c r="BN22" s="948">
        <f t="shared" si="24"/>
        <v>91.638442666666663</v>
      </c>
      <c r="BO22" s="948">
        <f t="shared" si="24"/>
        <v>91.638442666666663</v>
      </c>
      <c r="BP22" s="948">
        <f t="shared" si="24"/>
        <v>110.8224</v>
      </c>
      <c r="BQ22" s="948">
        <f t="shared" si="24"/>
        <v>73.881600000000006</v>
      </c>
      <c r="BR22" s="948">
        <f t="shared" si="24"/>
        <v>147.59901866666667</v>
      </c>
      <c r="BS22" s="948">
        <f t="shared" si="25"/>
        <v>0</v>
      </c>
      <c r="BT22" s="955">
        <f t="shared" si="26"/>
        <v>208.41782857142857</v>
      </c>
    </row>
    <row r="23" spans="1:72">
      <c r="A23" s="952">
        <v>10</v>
      </c>
      <c r="B23" s="952" t="s">
        <v>1102</v>
      </c>
      <c r="C23" s="950" t="s">
        <v>1103</v>
      </c>
      <c r="D23" s="950">
        <v>1</v>
      </c>
      <c r="E23" s="950">
        <v>1</v>
      </c>
      <c r="F23" s="948">
        <v>10</v>
      </c>
      <c r="G23" s="948">
        <v>0.25</v>
      </c>
      <c r="H23" s="948">
        <v>0.6</v>
      </c>
      <c r="I23" s="948">
        <v>0.12</v>
      </c>
      <c r="J23" s="948">
        <f t="shared" si="0"/>
        <v>0.48</v>
      </c>
      <c r="K23" s="948">
        <f>F23*G23*J23*D23*E23</f>
        <v>1.2</v>
      </c>
      <c r="L23" s="948">
        <f>(2*J23)*D23*E23*F23</f>
        <v>9.6</v>
      </c>
      <c r="M23" s="952"/>
      <c r="N23" s="950">
        <v>16</v>
      </c>
      <c r="O23" s="950">
        <v>16</v>
      </c>
      <c r="P23" s="950">
        <v>16</v>
      </c>
      <c r="Q23" s="950">
        <v>16</v>
      </c>
      <c r="R23" s="950">
        <v>16</v>
      </c>
      <c r="S23" s="950">
        <v>16</v>
      </c>
      <c r="T23" s="950">
        <v>8</v>
      </c>
      <c r="U23" s="950"/>
      <c r="V23" s="950"/>
      <c r="W23" s="950">
        <v>200</v>
      </c>
      <c r="X23" s="950">
        <v>100</v>
      </c>
      <c r="Y23" s="950">
        <v>100</v>
      </c>
      <c r="Z23" s="950">
        <v>9</v>
      </c>
      <c r="AA23" s="950">
        <v>6</v>
      </c>
      <c r="AB23" s="950">
        <v>4</v>
      </c>
      <c r="AC23" s="950">
        <v>4</v>
      </c>
      <c r="AD23" s="950">
        <v>9</v>
      </c>
      <c r="AE23" s="950">
        <v>6</v>
      </c>
      <c r="AF23" s="955">
        <f>(F23/4)/(W23/1000)+1</f>
        <v>13.5</v>
      </c>
      <c r="AG23" s="955">
        <f t="shared" si="4"/>
        <v>51</v>
      </c>
      <c r="AH23" s="955">
        <f t="shared" si="27"/>
        <v>26</v>
      </c>
      <c r="AI23" s="955">
        <v>0</v>
      </c>
      <c r="AJ23" s="955">
        <v>0</v>
      </c>
      <c r="AK23" s="948">
        <f t="shared" si="5"/>
        <v>3.3000000000000003</v>
      </c>
      <c r="AL23" s="948">
        <f t="shared" si="6"/>
        <v>3.3000000000000003</v>
      </c>
      <c r="AM23" s="948">
        <f t="shared" si="7"/>
        <v>5.5120000000000005</v>
      </c>
      <c r="AN23" s="948">
        <f t="shared" si="8"/>
        <v>5.5120000000000005</v>
      </c>
      <c r="AO23" s="948">
        <f t="shared" si="9"/>
        <v>3.3000000000000003</v>
      </c>
      <c r="AP23" s="948">
        <f t="shared" si="10"/>
        <v>3.3000000000000003</v>
      </c>
      <c r="AQ23" s="948">
        <f t="shared" si="11"/>
        <v>1.508</v>
      </c>
      <c r="AR23" s="948">
        <f t="shared" si="12"/>
        <v>0</v>
      </c>
      <c r="AS23" s="948">
        <f t="shared" si="13"/>
        <v>0</v>
      </c>
      <c r="AT23" s="948">
        <f t="shared" si="28"/>
        <v>29.700000000000003</v>
      </c>
      <c r="AU23" s="948">
        <f t="shared" si="14"/>
        <v>19.8</v>
      </c>
      <c r="AV23" s="948">
        <f t="shared" si="15"/>
        <v>22.048000000000002</v>
      </c>
      <c r="AW23" s="948">
        <f t="shared" si="16"/>
        <v>22.048000000000002</v>
      </c>
      <c r="AX23" s="948">
        <f t="shared" si="17"/>
        <v>29.700000000000003</v>
      </c>
      <c r="AY23" s="948">
        <f t="shared" si="18"/>
        <v>19.8</v>
      </c>
      <c r="AZ23" s="948">
        <f t="shared" si="19"/>
        <v>136.47399999999999</v>
      </c>
      <c r="BA23" s="948">
        <f t="shared" si="20"/>
        <v>0</v>
      </c>
      <c r="BB23" s="948">
        <f t="shared" si="21"/>
        <v>0</v>
      </c>
      <c r="BC23" s="957">
        <f t="shared" si="22"/>
        <v>1.5786666666666667</v>
      </c>
      <c r="BD23" s="957">
        <f t="shared" si="22"/>
        <v>1.5786666666666667</v>
      </c>
      <c r="BE23" s="957">
        <f t="shared" si="22"/>
        <v>1.5786666666666667</v>
      </c>
      <c r="BF23" s="957">
        <f t="shared" si="22"/>
        <v>1.5786666666666667</v>
      </c>
      <c r="BG23" s="957">
        <f t="shared" si="22"/>
        <v>1.5786666666666667</v>
      </c>
      <c r="BH23" s="957">
        <f t="shared" si="22"/>
        <v>1.5786666666666667</v>
      </c>
      <c r="BI23" s="957">
        <f t="shared" si="22"/>
        <v>0.39466666666666667</v>
      </c>
      <c r="BJ23" s="957">
        <f t="shared" si="22"/>
        <v>0</v>
      </c>
      <c r="BK23" s="957">
        <f t="shared" si="23"/>
        <v>0</v>
      </c>
      <c r="BL23" s="948">
        <f t="shared" si="29"/>
        <v>46.886400000000002</v>
      </c>
      <c r="BM23" s="948">
        <f t="shared" si="24"/>
        <v>31.2576</v>
      </c>
      <c r="BN23" s="948">
        <f t="shared" si="24"/>
        <v>34.806442666666669</v>
      </c>
      <c r="BO23" s="948">
        <f t="shared" si="24"/>
        <v>34.806442666666669</v>
      </c>
      <c r="BP23" s="948">
        <f t="shared" si="24"/>
        <v>46.886400000000002</v>
      </c>
      <c r="BQ23" s="948">
        <f t="shared" si="24"/>
        <v>31.2576</v>
      </c>
      <c r="BR23" s="948">
        <f t="shared" si="24"/>
        <v>53.86173866666666</v>
      </c>
      <c r="BS23" s="948"/>
      <c r="BT23" s="955">
        <f t="shared" si="26"/>
        <v>233.13552000000001</v>
      </c>
    </row>
    <row r="24" spans="1:72">
      <c r="A24" s="952"/>
      <c r="B24" s="952" t="s">
        <v>78</v>
      </c>
      <c r="C24" s="950"/>
      <c r="D24" s="950"/>
      <c r="E24" s="950"/>
      <c r="F24" s="948"/>
      <c r="G24" s="948"/>
      <c r="H24" s="948"/>
      <c r="I24" s="948"/>
      <c r="J24" s="948"/>
      <c r="K24" s="948"/>
      <c r="L24" s="948"/>
      <c r="M24" s="952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0"/>
      <c r="AB24" s="950"/>
      <c r="AC24" s="950"/>
      <c r="AD24" s="950"/>
      <c r="AE24" s="950"/>
      <c r="AF24" s="955"/>
      <c r="AG24" s="955"/>
      <c r="AH24" s="955"/>
      <c r="AI24" s="955"/>
      <c r="AJ24" s="955"/>
      <c r="AK24" s="948"/>
      <c r="AL24" s="948"/>
      <c r="AM24" s="948"/>
      <c r="AN24" s="948"/>
      <c r="AO24" s="948"/>
      <c r="AP24" s="948"/>
      <c r="AQ24" s="948"/>
      <c r="AR24" s="948"/>
      <c r="AS24" s="948"/>
      <c r="AT24" s="948"/>
      <c r="AU24" s="948"/>
      <c r="AV24" s="948"/>
      <c r="AW24" s="948"/>
      <c r="AX24" s="948"/>
      <c r="AY24" s="948"/>
      <c r="AZ24" s="948"/>
      <c r="BA24" s="948"/>
      <c r="BB24" s="948"/>
      <c r="BC24" s="957"/>
      <c r="BD24" s="957"/>
      <c r="BE24" s="957"/>
      <c r="BF24" s="957"/>
      <c r="BG24" s="957"/>
      <c r="BH24" s="957"/>
      <c r="BI24" s="957"/>
      <c r="BJ24" s="957"/>
      <c r="BK24" s="957"/>
      <c r="BL24" s="948"/>
      <c r="BM24" s="948"/>
      <c r="BN24" s="948"/>
      <c r="BO24" s="948"/>
      <c r="BP24" s="948"/>
      <c r="BQ24" s="948"/>
      <c r="BR24" s="948"/>
      <c r="BS24" s="948"/>
      <c r="BT24" s="955"/>
    </row>
    <row r="25" spans="1:72">
      <c r="A25" s="952"/>
      <c r="B25" s="952"/>
      <c r="C25" s="950"/>
      <c r="D25" s="950"/>
      <c r="E25" s="950"/>
      <c r="F25" s="948"/>
      <c r="G25" s="948"/>
      <c r="H25" s="948"/>
      <c r="I25" s="948"/>
      <c r="J25" s="948"/>
      <c r="K25" s="948"/>
      <c r="L25" s="948"/>
      <c r="M25" s="952"/>
      <c r="N25" s="950"/>
      <c r="O25" s="950"/>
      <c r="P25" s="950"/>
      <c r="Q25" s="950"/>
      <c r="R25" s="950"/>
      <c r="S25" s="950"/>
      <c r="T25" s="950"/>
      <c r="U25" s="950"/>
      <c r="V25" s="950"/>
      <c r="W25" s="950"/>
      <c r="X25" s="950"/>
      <c r="Y25" s="950"/>
      <c r="Z25" s="950"/>
      <c r="AA25" s="950"/>
      <c r="AB25" s="950"/>
      <c r="AC25" s="950"/>
      <c r="AD25" s="950"/>
      <c r="AE25" s="950"/>
      <c r="AF25" s="955"/>
      <c r="AG25" s="955"/>
      <c r="AH25" s="955"/>
      <c r="AI25" s="955"/>
      <c r="AJ25" s="955"/>
      <c r="AK25" s="948"/>
      <c r="AL25" s="948"/>
      <c r="AM25" s="948"/>
      <c r="AN25" s="948"/>
      <c r="AO25" s="948"/>
      <c r="AP25" s="948"/>
      <c r="AQ25" s="948"/>
      <c r="AR25" s="948"/>
      <c r="AS25" s="948"/>
      <c r="AT25" s="948"/>
      <c r="AU25" s="948"/>
      <c r="AV25" s="948"/>
      <c r="AW25" s="948"/>
      <c r="AX25" s="948"/>
      <c r="AY25" s="948"/>
      <c r="AZ25" s="948"/>
      <c r="BA25" s="948"/>
      <c r="BB25" s="948"/>
      <c r="BC25" s="957"/>
      <c r="BD25" s="957"/>
      <c r="BE25" s="957"/>
      <c r="BF25" s="957"/>
      <c r="BG25" s="957"/>
      <c r="BH25" s="957"/>
      <c r="BI25" s="957"/>
      <c r="BJ25" s="957"/>
      <c r="BK25" s="957"/>
      <c r="BL25" s="948"/>
      <c r="BM25" s="948"/>
      <c r="BN25" s="948"/>
      <c r="BO25" s="948"/>
      <c r="BP25" s="948"/>
      <c r="BQ25" s="948"/>
      <c r="BR25" s="948"/>
      <c r="BS25" s="948"/>
      <c r="BT25" s="955"/>
    </row>
    <row r="26" spans="1:72">
      <c r="A26" s="960" t="s">
        <v>8</v>
      </c>
      <c r="B26" s="960" t="s">
        <v>1104</v>
      </c>
      <c r="C26" s="950"/>
      <c r="D26" s="950"/>
      <c r="E26" s="950"/>
      <c r="F26" s="948"/>
      <c r="G26" s="948"/>
      <c r="H26" s="948"/>
      <c r="I26" s="948"/>
      <c r="J26" s="948"/>
      <c r="K26" s="948"/>
      <c r="L26" s="948"/>
      <c r="M26" s="952"/>
      <c r="N26" s="959" t="str">
        <f>A26</f>
        <v>B</v>
      </c>
      <c r="O26" s="959" t="str">
        <f>B26</f>
        <v>Horizontal</v>
      </c>
      <c r="P26" s="950"/>
      <c r="Q26" s="950"/>
      <c r="R26" s="950"/>
      <c r="S26" s="950"/>
      <c r="T26" s="950"/>
      <c r="U26" s="950"/>
      <c r="V26" s="950"/>
      <c r="W26" s="950"/>
      <c r="X26" s="950"/>
      <c r="Y26" s="950"/>
      <c r="Z26" s="950"/>
      <c r="AA26" s="950"/>
      <c r="AB26" s="950"/>
      <c r="AC26" s="950"/>
      <c r="AD26" s="950"/>
      <c r="AE26" s="950"/>
      <c r="AF26" s="955"/>
      <c r="AG26" s="955"/>
      <c r="AH26" s="955"/>
      <c r="AI26" s="955"/>
      <c r="AJ26" s="955"/>
      <c r="AK26" s="948"/>
      <c r="AL26" s="948"/>
      <c r="AM26" s="948"/>
      <c r="AN26" s="948"/>
      <c r="AO26" s="948"/>
      <c r="AP26" s="948"/>
      <c r="AQ26" s="948"/>
      <c r="AR26" s="948"/>
      <c r="AS26" s="948"/>
      <c r="AT26" s="948"/>
      <c r="AU26" s="948"/>
      <c r="AV26" s="948"/>
      <c r="AW26" s="948"/>
      <c r="AX26" s="948"/>
      <c r="AY26" s="948"/>
      <c r="AZ26" s="948"/>
      <c r="BA26" s="948"/>
      <c r="BB26" s="948"/>
      <c r="BC26" s="957"/>
      <c r="BD26" s="957"/>
      <c r="BE26" s="957"/>
      <c r="BF26" s="957"/>
      <c r="BG26" s="957"/>
      <c r="BH26" s="957"/>
      <c r="BI26" s="957"/>
      <c r="BJ26" s="957"/>
      <c r="BK26" s="957"/>
      <c r="BL26" s="948"/>
      <c r="BM26" s="948"/>
      <c r="BN26" s="948"/>
      <c r="BO26" s="948"/>
      <c r="BP26" s="948"/>
      <c r="BQ26" s="948"/>
      <c r="BR26" s="948"/>
      <c r="BS26" s="948"/>
      <c r="BT26" s="955"/>
    </row>
    <row r="27" spans="1:72">
      <c r="A27" s="952">
        <v>1</v>
      </c>
      <c r="B27" s="952" t="s">
        <v>1105</v>
      </c>
      <c r="C27" s="950" t="s">
        <v>1106</v>
      </c>
      <c r="D27" s="950">
        <v>1</v>
      </c>
      <c r="E27" s="950">
        <v>1</v>
      </c>
      <c r="F27" s="948">
        <v>72</v>
      </c>
      <c r="G27" s="948">
        <v>0.3</v>
      </c>
      <c r="H27" s="948">
        <v>0.65</v>
      </c>
      <c r="I27" s="948">
        <v>0.12</v>
      </c>
      <c r="J27" s="948">
        <f t="shared" ref="J27:J39" si="30">H27-I27</f>
        <v>0.53</v>
      </c>
      <c r="K27" s="948">
        <f t="shared" ref="K27" si="31">F27*G27*J27*D27*E27</f>
        <v>11.447999999999999</v>
      </c>
      <c r="L27" s="948">
        <f>(2*J27)*F27*E27*D27</f>
        <v>76.320000000000007</v>
      </c>
      <c r="M27" s="952"/>
      <c r="N27" s="950">
        <v>16</v>
      </c>
      <c r="O27" s="950">
        <v>16</v>
      </c>
      <c r="P27" s="950">
        <v>16</v>
      </c>
      <c r="Q27" s="950">
        <v>16</v>
      </c>
      <c r="R27" s="950">
        <v>16</v>
      </c>
      <c r="S27" s="950">
        <v>16</v>
      </c>
      <c r="T27" s="950">
        <v>8</v>
      </c>
      <c r="U27" s="950"/>
      <c r="V27" s="950"/>
      <c r="W27" s="950">
        <v>200</v>
      </c>
      <c r="X27" s="950">
        <v>100</v>
      </c>
      <c r="Y27" s="950">
        <f>X27</f>
        <v>100</v>
      </c>
      <c r="Z27" s="950">
        <v>9</v>
      </c>
      <c r="AA27" s="950">
        <v>6</v>
      </c>
      <c r="AB27" s="950">
        <v>16</v>
      </c>
      <c r="AC27" s="950">
        <v>16</v>
      </c>
      <c r="AD27" s="950">
        <v>9</v>
      </c>
      <c r="AE27" s="950">
        <v>6</v>
      </c>
      <c r="AF27" s="955">
        <f t="shared" ref="AF27:AF39" si="32">(F27/4)/(W27/1000)+1</f>
        <v>91</v>
      </c>
      <c r="AG27" s="955">
        <f t="shared" ref="AG27:AG39" si="33">(F27/2)/(X27/1000)+1</f>
        <v>361</v>
      </c>
      <c r="AH27" s="955">
        <f t="shared" ref="AH27:AH39" si="34">(F27/4)/(Y27/1000)+1</f>
        <v>181</v>
      </c>
      <c r="AI27" s="955">
        <v>0</v>
      </c>
      <c r="AJ27" s="955">
        <v>0</v>
      </c>
      <c r="AK27" s="948">
        <f t="shared" ref="AK27:AK39" si="35">(F27/4)+(20*N27/1000)+(10*N27/1000)+(8*N27/1000)+(6*2*N27/1000)</f>
        <v>18.8</v>
      </c>
      <c r="AL27" s="948">
        <f t="shared" ref="AL27:AL39" si="36">(F27/4)+(20*O27/1000)+(10*O27/1000)+(8*O27/1000)+(6*2*O27/1000)</f>
        <v>18.8</v>
      </c>
      <c r="AM27" s="948">
        <f t="shared" ref="AM27:AM39" si="37">(F27/2)+(20*P27/1000)+(6*2*P27/1000)</f>
        <v>36.512</v>
      </c>
      <c r="AN27" s="948">
        <f t="shared" ref="AN27:AN39" si="38">(F27/2)+(20*Q27/1000)+(6*2*Q27/1000)</f>
        <v>36.512</v>
      </c>
      <c r="AO27" s="948">
        <f t="shared" ref="AO27:AO39" si="39">(F27/4)+(20*R27/1000)+(10*R27/1000)+(8*R27/1000)+(6*2*R27/1000)</f>
        <v>18.8</v>
      </c>
      <c r="AP27" s="948">
        <f t="shared" ref="AP27:AP39" si="40">(F27/4)+(20*S27/1000)+(10*S27/1000)+(8*S27/1000)+(6*2*S27/1000)</f>
        <v>18.8</v>
      </c>
      <c r="AQ27" s="948">
        <f t="shared" ref="AQ27:AQ39" si="41">(2*G27)+(2*H27)+(6*T27/1000)-(8*0.03)</f>
        <v>1.708</v>
      </c>
      <c r="AR27" s="948">
        <f t="shared" ref="AR27:AR31" si="42">((H27)+(2*6*U27/1000)-(2*0.03))*AI27</f>
        <v>0</v>
      </c>
      <c r="AS27" s="948">
        <f t="shared" ref="AS27:AS39" si="43">((G27)+(2*6*V27/1000)-(2*0.03))*AJ27</f>
        <v>0</v>
      </c>
      <c r="AT27" s="948">
        <f t="shared" ref="AT27:AT39" si="44">AK27*Z27*E27*D27</f>
        <v>169.20000000000002</v>
      </c>
      <c r="AU27" s="948">
        <f t="shared" ref="AU27:AU39" si="45">AL27*AA27*E27*D27</f>
        <v>112.80000000000001</v>
      </c>
      <c r="AV27" s="948">
        <f t="shared" ref="AV27:AV39" si="46">AM27*AB27*E27*D27</f>
        <v>584.19200000000001</v>
      </c>
      <c r="AW27" s="948">
        <f t="shared" ref="AW27:AW39" si="47">AN27*AC27*E27*D27</f>
        <v>584.19200000000001</v>
      </c>
      <c r="AX27" s="948">
        <f t="shared" ref="AX27:AX39" si="48">AO27*AD27*E27*D27</f>
        <v>169.20000000000002</v>
      </c>
      <c r="AY27" s="948">
        <f t="shared" ref="AY27:AY39" si="49">AP27*AE27*E27*D27</f>
        <v>112.80000000000001</v>
      </c>
      <c r="AZ27" s="948">
        <f t="shared" ref="AZ27:AZ39" si="50">AQ27*(AF27+AG27+AH27)*E27*D27</f>
        <v>1081.164</v>
      </c>
      <c r="BA27" s="948">
        <f t="shared" ref="BA27:BA39" si="51">AR27*(AF27+AG27+AH27)*E27*D27</f>
        <v>0</v>
      </c>
      <c r="BB27" s="948">
        <f t="shared" ref="BB27:BB39" si="52">AS27*(AF27+AG27+AH27)*E27*D27</f>
        <v>0</v>
      </c>
      <c r="BC27" s="957">
        <f t="shared" ref="BC27:BK39" si="53">N27*N27*0.074/12</f>
        <v>1.5786666666666667</v>
      </c>
      <c r="BD27" s="957">
        <f t="shared" si="53"/>
        <v>1.5786666666666667</v>
      </c>
      <c r="BE27" s="957">
        <f t="shared" si="53"/>
        <v>1.5786666666666667</v>
      </c>
      <c r="BF27" s="957">
        <f t="shared" si="53"/>
        <v>1.5786666666666667</v>
      </c>
      <c r="BG27" s="957">
        <f t="shared" si="53"/>
        <v>1.5786666666666667</v>
      </c>
      <c r="BH27" s="957">
        <f t="shared" si="53"/>
        <v>1.5786666666666667</v>
      </c>
      <c r="BI27" s="957">
        <f t="shared" si="53"/>
        <v>0.39466666666666667</v>
      </c>
      <c r="BJ27" s="957">
        <f t="shared" si="53"/>
        <v>0</v>
      </c>
      <c r="BK27" s="957">
        <f t="shared" si="53"/>
        <v>0</v>
      </c>
      <c r="BL27" s="948">
        <f t="shared" ref="BL27:BR39" si="54">AT27*BC27</f>
        <v>267.11040000000003</v>
      </c>
      <c r="BM27" s="948">
        <f t="shared" si="54"/>
        <v>178.07360000000003</v>
      </c>
      <c r="BN27" s="948">
        <f t="shared" si="54"/>
        <v>922.24443733333339</v>
      </c>
      <c r="BO27" s="948">
        <f t="shared" si="54"/>
        <v>922.24443733333339</v>
      </c>
      <c r="BP27" s="948">
        <f t="shared" si="54"/>
        <v>267.11040000000003</v>
      </c>
      <c r="BQ27" s="948">
        <f t="shared" si="54"/>
        <v>178.07360000000003</v>
      </c>
      <c r="BR27" s="948">
        <f>AZ27*BI27</f>
        <v>426.69939199999999</v>
      </c>
      <c r="BS27" s="948">
        <f t="shared" ref="BS27:BS39" si="55">BB27*BK27</f>
        <v>0</v>
      </c>
      <c r="BT27" s="955">
        <f t="shared" ref="BT27:BT39" si="56">SUM(BL27:BS27)/K27</f>
        <v>276.16668996040073</v>
      </c>
    </row>
    <row r="28" spans="1:72">
      <c r="A28" s="952">
        <v>2</v>
      </c>
      <c r="B28" s="952" t="s">
        <v>1107</v>
      </c>
      <c r="C28" s="950" t="s">
        <v>1108</v>
      </c>
      <c r="D28" s="950">
        <v>1</v>
      </c>
      <c r="E28" s="950">
        <v>1</v>
      </c>
      <c r="F28" s="948">
        <v>64</v>
      </c>
      <c r="G28" s="948">
        <v>0.3</v>
      </c>
      <c r="H28" s="948">
        <v>0.65</v>
      </c>
      <c r="I28" s="948">
        <v>0.12</v>
      </c>
      <c r="J28" s="948">
        <f t="shared" si="30"/>
        <v>0.53</v>
      </c>
      <c r="K28" s="948">
        <f>F28*G28*J28*D28*E28</f>
        <v>10.176</v>
      </c>
      <c r="L28" s="948">
        <f t="shared" ref="L28:L39" si="57">(2*J28)*F28*E28*D28</f>
        <v>67.84</v>
      </c>
      <c r="M28" s="952"/>
      <c r="N28" s="950">
        <v>16</v>
      </c>
      <c r="O28" s="950">
        <v>16</v>
      </c>
      <c r="P28" s="950">
        <v>16</v>
      </c>
      <c r="Q28" s="950">
        <v>16</v>
      </c>
      <c r="R28" s="950">
        <v>16</v>
      </c>
      <c r="S28" s="950">
        <v>16</v>
      </c>
      <c r="T28" s="950">
        <v>8</v>
      </c>
      <c r="U28" s="950"/>
      <c r="V28" s="950"/>
      <c r="W28" s="950">
        <v>200</v>
      </c>
      <c r="X28" s="950">
        <v>100</v>
      </c>
      <c r="Y28" s="950">
        <v>100</v>
      </c>
      <c r="Z28" s="950">
        <v>4</v>
      </c>
      <c r="AA28" s="950">
        <v>4</v>
      </c>
      <c r="AB28" s="950">
        <v>2</v>
      </c>
      <c r="AC28" s="950">
        <v>2</v>
      </c>
      <c r="AD28" s="950">
        <v>4</v>
      </c>
      <c r="AE28" s="950">
        <v>4</v>
      </c>
      <c r="AF28" s="955">
        <f t="shared" si="32"/>
        <v>81</v>
      </c>
      <c r="AG28" s="955">
        <f t="shared" si="33"/>
        <v>321</v>
      </c>
      <c r="AH28" s="955">
        <f t="shared" si="34"/>
        <v>161</v>
      </c>
      <c r="AI28" s="955">
        <v>0</v>
      </c>
      <c r="AJ28" s="955">
        <v>0</v>
      </c>
      <c r="AK28" s="948">
        <f t="shared" si="35"/>
        <v>16.8</v>
      </c>
      <c r="AL28" s="948">
        <f t="shared" si="36"/>
        <v>16.8</v>
      </c>
      <c r="AM28" s="948">
        <f t="shared" si="37"/>
        <v>32.512</v>
      </c>
      <c r="AN28" s="948">
        <f t="shared" si="38"/>
        <v>32.512</v>
      </c>
      <c r="AO28" s="948">
        <f t="shared" si="39"/>
        <v>16.8</v>
      </c>
      <c r="AP28" s="948">
        <f t="shared" si="40"/>
        <v>16.8</v>
      </c>
      <c r="AQ28" s="948">
        <f t="shared" si="41"/>
        <v>1.708</v>
      </c>
      <c r="AR28" s="948">
        <f t="shared" si="42"/>
        <v>0</v>
      </c>
      <c r="AS28" s="948">
        <f t="shared" si="43"/>
        <v>0</v>
      </c>
      <c r="AT28" s="948">
        <f t="shared" si="44"/>
        <v>67.2</v>
      </c>
      <c r="AU28" s="948">
        <f t="shared" si="45"/>
        <v>67.2</v>
      </c>
      <c r="AV28" s="948">
        <f t="shared" si="46"/>
        <v>65.024000000000001</v>
      </c>
      <c r="AW28" s="948">
        <f t="shared" si="47"/>
        <v>65.024000000000001</v>
      </c>
      <c r="AX28" s="948">
        <f t="shared" si="48"/>
        <v>67.2</v>
      </c>
      <c r="AY28" s="948">
        <f t="shared" si="49"/>
        <v>67.2</v>
      </c>
      <c r="AZ28" s="948">
        <f t="shared" si="50"/>
        <v>961.60399999999993</v>
      </c>
      <c r="BA28" s="948">
        <f t="shared" si="51"/>
        <v>0</v>
      </c>
      <c r="BB28" s="948">
        <f t="shared" si="52"/>
        <v>0</v>
      </c>
      <c r="BC28" s="957">
        <f t="shared" si="53"/>
        <v>1.5786666666666667</v>
      </c>
      <c r="BD28" s="957">
        <f t="shared" si="53"/>
        <v>1.5786666666666667</v>
      </c>
      <c r="BE28" s="957">
        <f t="shared" si="53"/>
        <v>1.5786666666666667</v>
      </c>
      <c r="BF28" s="957">
        <f t="shared" si="53"/>
        <v>1.5786666666666667</v>
      </c>
      <c r="BG28" s="957">
        <f t="shared" si="53"/>
        <v>1.5786666666666667</v>
      </c>
      <c r="BH28" s="957">
        <f t="shared" si="53"/>
        <v>1.5786666666666667</v>
      </c>
      <c r="BI28" s="957">
        <f t="shared" si="53"/>
        <v>0.39466666666666667</v>
      </c>
      <c r="BJ28" s="957">
        <f t="shared" si="53"/>
        <v>0</v>
      </c>
      <c r="BK28" s="957">
        <f t="shared" si="53"/>
        <v>0</v>
      </c>
      <c r="BL28" s="948">
        <f t="shared" si="54"/>
        <v>106.0864</v>
      </c>
      <c r="BM28" s="948">
        <f t="shared" si="54"/>
        <v>106.0864</v>
      </c>
      <c r="BN28" s="948">
        <f t="shared" si="54"/>
        <v>102.65122133333334</v>
      </c>
      <c r="BO28" s="948">
        <f t="shared" si="54"/>
        <v>102.65122133333334</v>
      </c>
      <c r="BP28" s="948">
        <f t="shared" si="54"/>
        <v>106.0864</v>
      </c>
      <c r="BQ28" s="948">
        <f t="shared" si="54"/>
        <v>106.0864</v>
      </c>
      <c r="BR28" s="948">
        <f t="shared" si="54"/>
        <v>379.51304533333331</v>
      </c>
      <c r="BS28" s="948">
        <f t="shared" si="55"/>
        <v>0</v>
      </c>
      <c r="BT28" s="955">
        <f t="shared" si="56"/>
        <v>99.170704402515724</v>
      </c>
    </row>
    <row r="29" spans="1:72">
      <c r="A29" s="952">
        <v>3</v>
      </c>
      <c r="B29" s="952" t="s">
        <v>1109</v>
      </c>
      <c r="C29" s="950" t="s">
        <v>1110</v>
      </c>
      <c r="D29" s="950">
        <v>1</v>
      </c>
      <c r="E29" s="950">
        <v>1</v>
      </c>
      <c r="F29" s="948">
        <v>405.6</v>
      </c>
      <c r="G29" s="948">
        <v>0.25</v>
      </c>
      <c r="H29" s="948">
        <v>0.6</v>
      </c>
      <c r="I29" s="948">
        <v>0.12</v>
      </c>
      <c r="J29" s="948">
        <f t="shared" si="30"/>
        <v>0.48</v>
      </c>
      <c r="K29" s="948">
        <f>F29*G29*J29*D29*E29</f>
        <v>48.672000000000004</v>
      </c>
      <c r="L29" s="948">
        <f t="shared" si="57"/>
        <v>389.37600000000003</v>
      </c>
      <c r="M29" s="952"/>
      <c r="N29" s="950">
        <v>16</v>
      </c>
      <c r="O29" s="950">
        <v>16</v>
      </c>
      <c r="P29" s="950">
        <v>16</v>
      </c>
      <c r="Q29" s="950">
        <v>16</v>
      </c>
      <c r="R29" s="950">
        <v>16</v>
      </c>
      <c r="S29" s="950">
        <v>16</v>
      </c>
      <c r="T29" s="950">
        <v>8</v>
      </c>
      <c r="U29" s="950"/>
      <c r="V29" s="950"/>
      <c r="W29" s="950">
        <v>200</v>
      </c>
      <c r="X29" s="950">
        <v>100</v>
      </c>
      <c r="Y29" s="950">
        <v>100</v>
      </c>
      <c r="Z29" s="950">
        <v>10</v>
      </c>
      <c r="AA29" s="950">
        <v>10</v>
      </c>
      <c r="AB29" s="950">
        <v>10</v>
      </c>
      <c r="AC29" s="950">
        <v>10</v>
      </c>
      <c r="AD29" s="950">
        <v>10</v>
      </c>
      <c r="AE29" s="950">
        <v>10</v>
      </c>
      <c r="AF29" s="955">
        <f t="shared" si="32"/>
        <v>508</v>
      </c>
      <c r="AG29" s="955">
        <f t="shared" si="33"/>
        <v>2029</v>
      </c>
      <c r="AH29" s="955">
        <f t="shared" si="34"/>
        <v>1015</v>
      </c>
      <c r="AI29" s="955">
        <v>0</v>
      </c>
      <c r="AJ29" s="955">
        <v>0</v>
      </c>
      <c r="AK29" s="948">
        <f t="shared" si="35"/>
        <v>102.19999999999999</v>
      </c>
      <c r="AL29" s="948">
        <f t="shared" si="36"/>
        <v>102.19999999999999</v>
      </c>
      <c r="AM29" s="948">
        <f t="shared" si="37"/>
        <v>203.31200000000001</v>
      </c>
      <c r="AN29" s="948">
        <f t="shared" si="38"/>
        <v>203.31200000000001</v>
      </c>
      <c r="AO29" s="948">
        <f t="shared" si="39"/>
        <v>102.19999999999999</v>
      </c>
      <c r="AP29" s="948">
        <f t="shared" si="40"/>
        <v>102.19999999999999</v>
      </c>
      <c r="AQ29" s="948">
        <f t="shared" si="41"/>
        <v>1.508</v>
      </c>
      <c r="AR29" s="948">
        <f t="shared" si="42"/>
        <v>0</v>
      </c>
      <c r="AS29" s="948">
        <f t="shared" si="43"/>
        <v>0</v>
      </c>
      <c r="AT29" s="948">
        <f t="shared" si="44"/>
        <v>1021.9999999999999</v>
      </c>
      <c r="AU29" s="948">
        <f t="shared" si="45"/>
        <v>1021.9999999999999</v>
      </c>
      <c r="AV29" s="948">
        <f t="shared" si="46"/>
        <v>2033.1200000000001</v>
      </c>
      <c r="AW29" s="948">
        <f t="shared" si="47"/>
        <v>2033.1200000000001</v>
      </c>
      <c r="AX29" s="948">
        <f t="shared" si="48"/>
        <v>1021.9999999999999</v>
      </c>
      <c r="AY29" s="948">
        <f t="shared" si="49"/>
        <v>1021.9999999999999</v>
      </c>
      <c r="AZ29" s="948">
        <f t="shared" si="50"/>
        <v>5356.4160000000002</v>
      </c>
      <c r="BA29" s="948">
        <f t="shared" si="51"/>
        <v>0</v>
      </c>
      <c r="BB29" s="948">
        <f t="shared" si="52"/>
        <v>0</v>
      </c>
      <c r="BC29" s="957">
        <f t="shared" si="53"/>
        <v>1.5786666666666667</v>
      </c>
      <c r="BD29" s="957">
        <f t="shared" si="53"/>
        <v>1.5786666666666667</v>
      </c>
      <c r="BE29" s="957">
        <f t="shared" si="53"/>
        <v>1.5786666666666667</v>
      </c>
      <c r="BF29" s="957">
        <f t="shared" si="53"/>
        <v>1.5786666666666667</v>
      </c>
      <c r="BG29" s="957">
        <f t="shared" si="53"/>
        <v>1.5786666666666667</v>
      </c>
      <c r="BH29" s="957">
        <f t="shared" si="53"/>
        <v>1.5786666666666667</v>
      </c>
      <c r="BI29" s="957">
        <f t="shared" si="53"/>
        <v>0.39466666666666667</v>
      </c>
      <c r="BJ29" s="957">
        <f t="shared" si="53"/>
        <v>0</v>
      </c>
      <c r="BK29" s="957">
        <f t="shared" si="53"/>
        <v>0</v>
      </c>
      <c r="BL29" s="948">
        <f t="shared" si="54"/>
        <v>1613.3973333333331</v>
      </c>
      <c r="BM29" s="948">
        <f t="shared" si="54"/>
        <v>1613.3973333333331</v>
      </c>
      <c r="BN29" s="948">
        <f t="shared" si="54"/>
        <v>3209.6187733333336</v>
      </c>
      <c r="BO29" s="948">
        <f t="shared" si="54"/>
        <v>3209.6187733333336</v>
      </c>
      <c r="BP29" s="948">
        <f t="shared" si="54"/>
        <v>1613.3973333333331</v>
      </c>
      <c r="BQ29" s="948">
        <f t="shared" si="54"/>
        <v>1613.3973333333331</v>
      </c>
      <c r="BR29" s="948">
        <f t="shared" si="54"/>
        <v>2113.9988480000002</v>
      </c>
      <c r="BS29" s="948">
        <f t="shared" si="55"/>
        <v>0</v>
      </c>
      <c r="BT29" s="955">
        <f t="shared" si="56"/>
        <v>307.91472978303744</v>
      </c>
    </row>
    <row r="30" spans="1:72">
      <c r="A30" s="952">
        <v>4</v>
      </c>
      <c r="B30" s="952" t="s">
        <v>1111</v>
      </c>
      <c r="C30" s="950" t="s">
        <v>1112</v>
      </c>
      <c r="D30" s="950">
        <v>1</v>
      </c>
      <c r="E30" s="950">
        <v>1</v>
      </c>
      <c r="F30" s="948">
        <v>126</v>
      </c>
      <c r="G30" s="948">
        <v>0.25</v>
      </c>
      <c r="H30" s="948">
        <v>0.6</v>
      </c>
      <c r="I30" s="948">
        <v>0.12</v>
      </c>
      <c r="J30" s="948">
        <f t="shared" si="30"/>
        <v>0.48</v>
      </c>
      <c r="K30" s="948">
        <f>F30*G30*J30*D30*E30</f>
        <v>15.12</v>
      </c>
      <c r="L30" s="948">
        <f t="shared" si="57"/>
        <v>120.96</v>
      </c>
      <c r="M30" s="952"/>
      <c r="N30" s="950">
        <v>19</v>
      </c>
      <c r="O30" s="950">
        <v>19</v>
      </c>
      <c r="P30" s="950">
        <v>19</v>
      </c>
      <c r="Q30" s="950">
        <v>19</v>
      </c>
      <c r="R30" s="950">
        <v>19</v>
      </c>
      <c r="S30" s="950">
        <v>19</v>
      </c>
      <c r="T30" s="950">
        <v>8</v>
      </c>
      <c r="U30" s="950"/>
      <c r="V30" s="950"/>
      <c r="W30" s="950">
        <v>200</v>
      </c>
      <c r="X30" s="950">
        <v>100</v>
      </c>
      <c r="Y30" s="950">
        <v>100</v>
      </c>
      <c r="Z30" s="950">
        <v>9</v>
      </c>
      <c r="AA30" s="950">
        <v>6</v>
      </c>
      <c r="AB30" s="950">
        <v>8</v>
      </c>
      <c r="AC30" s="950">
        <v>8</v>
      </c>
      <c r="AD30" s="950">
        <v>9</v>
      </c>
      <c r="AE30" s="950">
        <v>6</v>
      </c>
      <c r="AF30" s="955">
        <f t="shared" si="32"/>
        <v>158.5</v>
      </c>
      <c r="AG30" s="955">
        <f t="shared" si="33"/>
        <v>631</v>
      </c>
      <c r="AH30" s="955">
        <f t="shared" si="34"/>
        <v>316</v>
      </c>
      <c r="AI30" s="955">
        <v>0</v>
      </c>
      <c r="AJ30" s="955">
        <v>0</v>
      </c>
      <c r="AK30" s="948">
        <f t="shared" si="35"/>
        <v>32.450000000000003</v>
      </c>
      <c r="AL30" s="948">
        <f t="shared" si="36"/>
        <v>32.450000000000003</v>
      </c>
      <c r="AM30" s="948">
        <f t="shared" si="37"/>
        <v>63.608000000000004</v>
      </c>
      <c r="AN30" s="948">
        <f t="shared" si="38"/>
        <v>63.608000000000004</v>
      </c>
      <c r="AO30" s="948">
        <f t="shared" si="39"/>
        <v>32.450000000000003</v>
      </c>
      <c r="AP30" s="948">
        <f t="shared" si="40"/>
        <v>32.450000000000003</v>
      </c>
      <c r="AQ30" s="948">
        <f t="shared" si="41"/>
        <v>1.508</v>
      </c>
      <c r="AR30" s="948">
        <f t="shared" si="42"/>
        <v>0</v>
      </c>
      <c r="AS30" s="948">
        <f t="shared" si="43"/>
        <v>0</v>
      </c>
      <c r="AT30" s="948">
        <f t="shared" si="44"/>
        <v>292.05</v>
      </c>
      <c r="AU30" s="948">
        <f t="shared" si="45"/>
        <v>194.70000000000002</v>
      </c>
      <c r="AV30" s="948">
        <f t="shared" si="46"/>
        <v>508.86400000000003</v>
      </c>
      <c r="AW30" s="948">
        <f t="shared" si="47"/>
        <v>508.86400000000003</v>
      </c>
      <c r="AX30" s="948">
        <f t="shared" si="48"/>
        <v>292.05</v>
      </c>
      <c r="AY30" s="948">
        <f t="shared" si="49"/>
        <v>194.70000000000002</v>
      </c>
      <c r="AZ30" s="948">
        <f t="shared" si="50"/>
        <v>1667.0940000000001</v>
      </c>
      <c r="BA30" s="948">
        <f t="shared" si="51"/>
        <v>0</v>
      </c>
      <c r="BB30" s="948">
        <f t="shared" si="52"/>
        <v>0</v>
      </c>
      <c r="BC30" s="957">
        <f t="shared" si="53"/>
        <v>2.2261666666666664</v>
      </c>
      <c r="BD30" s="957">
        <f t="shared" si="53"/>
        <v>2.2261666666666664</v>
      </c>
      <c r="BE30" s="957">
        <f t="shared" si="53"/>
        <v>2.2261666666666664</v>
      </c>
      <c r="BF30" s="957">
        <f t="shared" si="53"/>
        <v>2.2261666666666664</v>
      </c>
      <c r="BG30" s="957">
        <f t="shared" si="53"/>
        <v>2.2261666666666664</v>
      </c>
      <c r="BH30" s="957">
        <f t="shared" si="53"/>
        <v>2.2261666666666664</v>
      </c>
      <c r="BI30" s="957">
        <f t="shared" si="53"/>
        <v>0.39466666666666667</v>
      </c>
      <c r="BJ30" s="957">
        <f t="shared" si="53"/>
        <v>0</v>
      </c>
      <c r="BK30" s="957">
        <f t="shared" si="53"/>
        <v>0</v>
      </c>
      <c r="BL30" s="948">
        <f t="shared" si="54"/>
        <v>650.15197499999999</v>
      </c>
      <c r="BM30" s="948">
        <f t="shared" si="54"/>
        <v>433.43464999999998</v>
      </c>
      <c r="BN30" s="948">
        <f t="shared" si="54"/>
        <v>1132.8160746666665</v>
      </c>
      <c r="BO30" s="948">
        <f t="shared" si="54"/>
        <v>1132.8160746666665</v>
      </c>
      <c r="BP30" s="948">
        <f t="shared" si="54"/>
        <v>650.15197499999999</v>
      </c>
      <c r="BQ30" s="948">
        <f t="shared" si="54"/>
        <v>433.43464999999998</v>
      </c>
      <c r="BR30" s="948">
        <f t="shared" si="54"/>
        <v>657.94643200000007</v>
      </c>
      <c r="BS30" s="948">
        <f t="shared" si="55"/>
        <v>0</v>
      </c>
      <c r="BT30" s="955">
        <f t="shared" si="56"/>
        <v>336.6899359347442</v>
      </c>
    </row>
    <row r="31" spans="1:72">
      <c r="A31" s="952">
        <v>5</v>
      </c>
      <c r="B31" s="952" t="s">
        <v>1113</v>
      </c>
      <c r="C31" s="950" t="s">
        <v>1114</v>
      </c>
      <c r="D31" s="950">
        <v>1</v>
      </c>
      <c r="E31" s="950">
        <v>1</v>
      </c>
      <c r="F31" s="948">
        <v>144</v>
      </c>
      <c r="G31" s="948">
        <v>0.25</v>
      </c>
      <c r="H31" s="948">
        <v>0.6</v>
      </c>
      <c r="I31" s="948">
        <v>0.12</v>
      </c>
      <c r="J31" s="948">
        <f t="shared" si="30"/>
        <v>0.48</v>
      </c>
      <c r="K31" s="948">
        <f>F31*G31*J31*D31*E31</f>
        <v>17.28</v>
      </c>
      <c r="L31" s="948">
        <f t="shared" si="57"/>
        <v>138.24</v>
      </c>
      <c r="M31" s="952"/>
      <c r="N31" s="950">
        <f t="shared" ref="N31:S33" si="58">N27</f>
        <v>16</v>
      </c>
      <c r="O31" s="950">
        <f t="shared" si="58"/>
        <v>16</v>
      </c>
      <c r="P31" s="950">
        <f t="shared" si="58"/>
        <v>16</v>
      </c>
      <c r="Q31" s="950">
        <f t="shared" si="58"/>
        <v>16</v>
      </c>
      <c r="R31" s="950">
        <f t="shared" si="58"/>
        <v>16</v>
      </c>
      <c r="S31" s="950">
        <f t="shared" si="58"/>
        <v>16</v>
      </c>
      <c r="T31" s="950">
        <v>8</v>
      </c>
      <c r="U31" s="950"/>
      <c r="V31" s="950"/>
      <c r="W31" s="950">
        <v>200</v>
      </c>
      <c r="X31" s="950">
        <v>100</v>
      </c>
      <c r="Y31" s="950">
        <f t="shared" ref="Y31" si="59">Y27</f>
        <v>100</v>
      </c>
      <c r="Z31" s="950">
        <v>4</v>
      </c>
      <c r="AA31" s="950">
        <v>4</v>
      </c>
      <c r="AB31" s="950">
        <v>2</v>
      </c>
      <c r="AC31" s="950">
        <v>2</v>
      </c>
      <c r="AD31" s="950">
        <v>4</v>
      </c>
      <c r="AE31" s="950">
        <v>4</v>
      </c>
      <c r="AF31" s="955">
        <f t="shared" si="32"/>
        <v>181</v>
      </c>
      <c r="AG31" s="955">
        <f t="shared" si="33"/>
        <v>721</v>
      </c>
      <c r="AH31" s="955">
        <f t="shared" si="34"/>
        <v>361</v>
      </c>
      <c r="AI31" s="955">
        <v>0</v>
      </c>
      <c r="AJ31" s="955">
        <v>0</v>
      </c>
      <c r="AK31" s="948">
        <f t="shared" si="35"/>
        <v>36.799999999999997</v>
      </c>
      <c r="AL31" s="948">
        <f t="shared" si="36"/>
        <v>36.799999999999997</v>
      </c>
      <c r="AM31" s="948">
        <f t="shared" si="37"/>
        <v>72.511999999999986</v>
      </c>
      <c r="AN31" s="948">
        <f t="shared" si="38"/>
        <v>72.511999999999986</v>
      </c>
      <c r="AO31" s="948">
        <f t="shared" si="39"/>
        <v>36.799999999999997</v>
      </c>
      <c r="AP31" s="948">
        <f t="shared" si="40"/>
        <v>36.799999999999997</v>
      </c>
      <c r="AQ31" s="948">
        <f t="shared" si="41"/>
        <v>1.508</v>
      </c>
      <c r="AR31" s="948">
        <f t="shared" si="42"/>
        <v>0</v>
      </c>
      <c r="AS31" s="948">
        <f t="shared" si="43"/>
        <v>0</v>
      </c>
      <c r="AT31" s="948">
        <f t="shared" si="44"/>
        <v>147.19999999999999</v>
      </c>
      <c r="AU31" s="948">
        <f t="shared" si="45"/>
        <v>147.19999999999999</v>
      </c>
      <c r="AV31" s="948">
        <f t="shared" si="46"/>
        <v>145.02399999999997</v>
      </c>
      <c r="AW31" s="948">
        <f t="shared" si="47"/>
        <v>145.02399999999997</v>
      </c>
      <c r="AX31" s="948">
        <f t="shared" si="48"/>
        <v>147.19999999999999</v>
      </c>
      <c r="AY31" s="948">
        <f t="shared" si="49"/>
        <v>147.19999999999999</v>
      </c>
      <c r="AZ31" s="948">
        <f t="shared" si="50"/>
        <v>1904.604</v>
      </c>
      <c r="BA31" s="948">
        <f t="shared" si="51"/>
        <v>0</v>
      </c>
      <c r="BB31" s="948">
        <f t="shared" si="52"/>
        <v>0</v>
      </c>
      <c r="BC31" s="957">
        <f t="shared" si="53"/>
        <v>1.5786666666666667</v>
      </c>
      <c r="BD31" s="957">
        <f t="shared" si="53"/>
        <v>1.5786666666666667</v>
      </c>
      <c r="BE31" s="957">
        <f t="shared" si="53"/>
        <v>1.5786666666666667</v>
      </c>
      <c r="BF31" s="957">
        <f t="shared" si="53"/>
        <v>1.5786666666666667</v>
      </c>
      <c r="BG31" s="957">
        <f t="shared" si="53"/>
        <v>1.5786666666666667</v>
      </c>
      <c r="BH31" s="957">
        <f t="shared" si="53"/>
        <v>1.5786666666666667</v>
      </c>
      <c r="BI31" s="957">
        <f t="shared" si="53"/>
        <v>0.39466666666666667</v>
      </c>
      <c r="BJ31" s="957">
        <f t="shared" si="53"/>
        <v>0</v>
      </c>
      <c r="BK31" s="957">
        <f t="shared" si="53"/>
        <v>0</v>
      </c>
      <c r="BL31" s="948">
        <f t="shared" si="54"/>
        <v>232.37973333333332</v>
      </c>
      <c r="BM31" s="948">
        <f t="shared" si="54"/>
        <v>232.37973333333332</v>
      </c>
      <c r="BN31" s="948">
        <f t="shared" si="54"/>
        <v>228.94455466666662</v>
      </c>
      <c r="BO31" s="948">
        <f t="shared" si="54"/>
        <v>228.94455466666662</v>
      </c>
      <c r="BP31" s="948">
        <f t="shared" si="54"/>
        <v>232.37973333333332</v>
      </c>
      <c r="BQ31" s="948">
        <f t="shared" si="54"/>
        <v>232.37973333333332</v>
      </c>
      <c r="BR31" s="948">
        <f t="shared" si="54"/>
        <v>751.68371200000001</v>
      </c>
      <c r="BS31" s="948">
        <f t="shared" si="55"/>
        <v>0</v>
      </c>
      <c r="BT31" s="955">
        <f t="shared" si="56"/>
        <v>123.79003209876541</v>
      </c>
    </row>
    <row r="32" spans="1:72">
      <c r="A32" s="952">
        <v>6</v>
      </c>
      <c r="B32" s="952" t="s">
        <v>1115</v>
      </c>
      <c r="C32" s="950" t="s">
        <v>1116</v>
      </c>
      <c r="D32" s="950">
        <v>1</v>
      </c>
      <c r="E32" s="950">
        <v>1</v>
      </c>
      <c r="F32" s="948">
        <v>108</v>
      </c>
      <c r="G32" s="948">
        <v>0.25</v>
      </c>
      <c r="H32" s="948">
        <v>0.6</v>
      </c>
      <c r="I32" s="948">
        <v>0.12</v>
      </c>
      <c r="J32" s="948">
        <f t="shared" si="30"/>
        <v>0.48</v>
      </c>
      <c r="K32" s="948">
        <f>F32*G32*J32*D32*E32</f>
        <v>12.959999999999999</v>
      </c>
      <c r="L32" s="948">
        <f t="shared" si="57"/>
        <v>103.67999999999999</v>
      </c>
      <c r="M32" s="952"/>
      <c r="N32" s="950">
        <f t="shared" si="58"/>
        <v>16</v>
      </c>
      <c r="O32" s="950">
        <f t="shared" si="58"/>
        <v>16</v>
      </c>
      <c r="P32" s="950">
        <f t="shared" si="58"/>
        <v>16</v>
      </c>
      <c r="Q32" s="950">
        <f t="shared" si="58"/>
        <v>16</v>
      </c>
      <c r="R32" s="950">
        <f t="shared" si="58"/>
        <v>16</v>
      </c>
      <c r="S32" s="950">
        <f t="shared" si="58"/>
        <v>16</v>
      </c>
      <c r="T32" s="950">
        <v>8</v>
      </c>
      <c r="U32" s="950"/>
      <c r="V32" s="950"/>
      <c r="W32" s="950">
        <v>200</v>
      </c>
      <c r="X32" s="950">
        <v>100</v>
      </c>
      <c r="Y32" s="950">
        <f t="shared" ref="Y32" si="60">X32</f>
        <v>100</v>
      </c>
      <c r="Z32" s="950">
        <v>9</v>
      </c>
      <c r="AA32" s="950">
        <v>6</v>
      </c>
      <c r="AB32" s="950">
        <v>16</v>
      </c>
      <c r="AC32" s="950">
        <v>16</v>
      </c>
      <c r="AD32" s="950">
        <v>9</v>
      </c>
      <c r="AE32" s="950">
        <v>6</v>
      </c>
      <c r="AF32" s="955">
        <f t="shared" si="32"/>
        <v>136</v>
      </c>
      <c r="AG32" s="955">
        <f t="shared" si="33"/>
        <v>541</v>
      </c>
      <c r="AH32" s="955">
        <f t="shared" si="34"/>
        <v>271</v>
      </c>
      <c r="AI32" s="955">
        <v>0</v>
      </c>
      <c r="AJ32" s="955">
        <v>0</v>
      </c>
      <c r="AK32" s="948">
        <f t="shared" si="35"/>
        <v>27.8</v>
      </c>
      <c r="AL32" s="948">
        <f t="shared" si="36"/>
        <v>27.8</v>
      </c>
      <c r="AM32" s="948">
        <f t="shared" si="37"/>
        <v>54.512</v>
      </c>
      <c r="AN32" s="948">
        <f t="shared" si="38"/>
        <v>54.512</v>
      </c>
      <c r="AO32" s="948">
        <f t="shared" si="39"/>
        <v>27.8</v>
      </c>
      <c r="AP32" s="948">
        <f t="shared" si="40"/>
        <v>27.8</v>
      </c>
      <c r="AQ32" s="948">
        <f t="shared" si="41"/>
        <v>1.508</v>
      </c>
      <c r="AR32" s="948">
        <f>((H32)+(2*6*U32/1000)-(2*0.03))*AI32</f>
        <v>0</v>
      </c>
      <c r="AS32" s="948">
        <f t="shared" si="43"/>
        <v>0</v>
      </c>
      <c r="AT32" s="948">
        <f t="shared" si="44"/>
        <v>250.20000000000002</v>
      </c>
      <c r="AU32" s="948">
        <f t="shared" si="45"/>
        <v>166.8</v>
      </c>
      <c r="AV32" s="948">
        <f t="shared" si="46"/>
        <v>872.19200000000001</v>
      </c>
      <c r="AW32" s="948">
        <f t="shared" si="47"/>
        <v>872.19200000000001</v>
      </c>
      <c r="AX32" s="948">
        <f t="shared" si="48"/>
        <v>250.20000000000002</v>
      </c>
      <c r="AY32" s="948">
        <f t="shared" si="49"/>
        <v>166.8</v>
      </c>
      <c r="AZ32" s="948">
        <f t="shared" si="50"/>
        <v>1429.5840000000001</v>
      </c>
      <c r="BA32" s="948">
        <f t="shared" si="51"/>
        <v>0</v>
      </c>
      <c r="BB32" s="948">
        <f t="shared" si="52"/>
        <v>0</v>
      </c>
      <c r="BC32" s="957">
        <f t="shared" si="53"/>
        <v>1.5786666666666667</v>
      </c>
      <c r="BD32" s="957">
        <f t="shared" si="53"/>
        <v>1.5786666666666667</v>
      </c>
      <c r="BE32" s="957">
        <f t="shared" si="53"/>
        <v>1.5786666666666667</v>
      </c>
      <c r="BF32" s="957">
        <f t="shared" si="53"/>
        <v>1.5786666666666667</v>
      </c>
      <c r="BG32" s="957">
        <f t="shared" si="53"/>
        <v>1.5786666666666667</v>
      </c>
      <c r="BH32" s="957">
        <f t="shared" si="53"/>
        <v>1.5786666666666667</v>
      </c>
      <c r="BI32" s="957">
        <f t="shared" si="53"/>
        <v>0.39466666666666667</v>
      </c>
      <c r="BJ32" s="957">
        <f t="shared" si="53"/>
        <v>0</v>
      </c>
      <c r="BK32" s="957">
        <f t="shared" si="53"/>
        <v>0</v>
      </c>
      <c r="BL32" s="948">
        <f t="shared" si="54"/>
        <v>394.98240000000004</v>
      </c>
      <c r="BM32" s="948">
        <f t="shared" si="54"/>
        <v>263.32159999999999</v>
      </c>
      <c r="BN32" s="948">
        <f t="shared" si="54"/>
        <v>1376.9004373333332</v>
      </c>
      <c r="BO32" s="948">
        <f t="shared" si="54"/>
        <v>1376.9004373333332</v>
      </c>
      <c r="BP32" s="948">
        <f t="shared" si="54"/>
        <v>394.98240000000004</v>
      </c>
      <c r="BQ32" s="948">
        <f t="shared" si="54"/>
        <v>263.32159999999999</v>
      </c>
      <c r="BR32" s="948">
        <f t="shared" si="54"/>
        <v>564.20915200000002</v>
      </c>
      <c r="BS32" s="948">
        <f t="shared" si="55"/>
        <v>0</v>
      </c>
      <c r="BT32" s="955">
        <f t="shared" si="56"/>
        <v>357.60941563786014</v>
      </c>
    </row>
    <row r="33" spans="1:72">
      <c r="A33" s="952">
        <v>7</v>
      </c>
      <c r="B33" s="952" t="s">
        <v>1117</v>
      </c>
      <c r="C33" s="950" t="s">
        <v>1118</v>
      </c>
      <c r="D33" s="950">
        <v>1</v>
      </c>
      <c r="E33" s="950">
        <v>1</v>
      </c>
      <c r="F33" s="948">
        <v>132</v>
      </c>
      <c r="G33" s="948">
        <v>0.25</v>
      </c>
      <c r="H33" s="948">
        <v>0.6</v>
      </c>
      <c r="I33" s="948">
        <v>0.12</v>
      </c>
      <c r="J33" s="948">
        <f t="shared" si="30"/>
        <v>0.48</v>
      </c>
      <c r="K33" s="948">
        <f t="shared" ref="K33:K39" si="61">F33*G33*J33*D33*E33</f>
        <v>15.84</v>
      </c>
      <c r="L33" s="948">
        <f t="shared" si="57"/>
        <v>126.72</v>
      </c>
      <c r="M33" s="952"/>
      <c r="N33" s="950">
        <f>N32</f>
        <v>16</v>
      </c>
      <c r="O33" s="950">
        <f t="shared" si="58"/>
        <v>16</v>
      </c>
      <c r="P33" s="950">
        <f t="shared" si="58"/>
        <v>16</v>
      </c>
      <c r="Q33" s="950">
        <f t="shared" si="58"/>
        <v>16</v>
      </c>
      <c r="R33" s="950">
        <f t="shared" si="58"/>
        <v>16</v>
      </c>
      <c r="S33" s="950">
        <f t="shared" si="58"/>
        <v>16</v>
      </c>
      <c r="T33" s="950">
        <v>8</v>
      </c>
      <c r="U33" s="950"/>
      <c r="V33" s="950"/>
      <c r="W33" s="950">
        <v>200</v>
      </c>
      <c r="X33" s="950">
        <v>100</v>
      </c>
      <c r="Y33" s="950">
        <f>X33</f>
        <v>100</v>
      </c>
      <c r="Z33" s="950">
        <v>9</v>
      </c>
      <c r="AA33" s="950">
        <v>6</v>
      </c>
      <c r="AB33" s="950">
        <v>16</v>
      </c>
      <c r="AC33" s="950">
        <v>16</v>
      </c>
      <c r="AD33" s="950">
        <v>9</v>
      </c>
      <c r="AE33" s="950">
        <v>6</v>
      </c>
      <c r="AF33" s="955">
        <f t="shared" si="32"/>
        <v>166</v>
      </c>
      <c r="AG33" s="955">
        <f t="shared" si="33"/>
        <v>661</v>
      </c>
      <c r="AH33" s="955">
        <f t="shared" si="34"/>
        <v>331</v>
      </c>
      <c r="AI33" s="955">
        <v>0</v>
      </c>
      <c r="AJ33" s="955">
        <v>0</v>
      </c>
      <c r="AK33" s="948">
        <f t="shared" si="35"/>
        <v>33.799999999999997</v>
      </c>
      <c r="AL33" s="948">
        <f t="shared" si="36"/>
        <v>33.799999999999997</v>
      </c>
      <c r="AM33" s="948">
        <f t="shared" si="37"/>
        <v>66.511999999999986</v>
      </c>
      <c r="AN33" s="948">
        <f t="shared" si="38"/>
        <v>66.511999999999986</v>
      </c>
      <c r="AO33" s="948">
        <f t="shared" si="39"/>
        <v>33.799999999999997</v>
      </c>
      <c r="AP33" s="948">
        <f t="shared" si="40"/>
        <v>33.799999999999997</v>
      </c>
      <c r="AQ33" s="948">
        <f t="shared" si="41"/>
        <v>1.508</v>
      </c>
      <c r="AR33" s="948">
        <f t="shared" ref="AR33:AR39" si="62">((H33)+(2*6*U33/1000)-(2*0.03))*AI33</f>
        <v>0</v>
      </c>
      <c r="AS33" s="948">
        <f t="shared" si="43"/>
        <v>0</v>
      </c>
      <c r="AT33" s="948">
        <f t="shared" si="44"/>
        <v>304.2</v>
      </c>
      <c r="AU33" s="948">
        <f t="shared" si="45"/>
        <v>202.79999999999998</v>
      </c>
      <c r="AV33" s="948">
        <f t="shared" si="46"/>
        <v>1064.1919999999998</v>
      </c>
      <c r="AW33" s="948">
        <f t="shared" si="47"/>
        <v>1064.1919999999998</v>
      </c>
      <c r="AX33" s="948">
        <f t="shared" si="48"/>
        <v>304.2</v>
      </c>
      <c r="AY33" s="948">
        <f t="shared" si="49"/>
        <v>202.79999999999998</v>
      </c>
      <c r="AZ33" s="948">
        <f t="shared" si="50"/>
        <v>1746.2639999999999</v>
      </c>
      <c r="BA33" s="948">
        <f t="shared" si="51"/>
        <v>0</v>
      </c>
      <c r="BB33" s="948">
        <f t="shared" si="52"/>
        <v>0</v>
      </c>
      <c r="BC33" s="957">
        <f t="shared" si="53"/>
        <v>1.5786666666666667</v>
      </c>
      <c r="BD33" s="957">
        <f t="shared" si="53"/>
        <v>1.5786666666666667</v>
      </c>
      <c r="BE33" s="957">
        <f t="shared" si="53"/>
        <v>1.5786666666666667</v>
      </c>
      <c r="BF33" s="957">
        <f t="shared" si="53"/>
        <v>1.5786666666666667</v>
      </c>
      <c r="BG33" s="957">
        <f t="shared" si="53"/>
        <v>1.5786666666666667</v>
      </c>
      <c r="BH33" s="957">
        <f t="shared" si="53"/>
        <v>1.5786666666666667</v>
      </c>
      <c r="BI33" s="957">
        <f t="shared" si="53"/>
        <v>0.39466666666666667</v>
      </c>
      <c r="BJ33" s="957">
        <f t="shared" si="53"/>
        <v>0</v>
      </c>
      <c r="BK33" s="957">
        <f t="shared" si="53"/>
        <v>0</v>
      </c>
      <c r="BL33" s="948">
        <f t="shared" si="54"/>
        <v>480.23039999999997</v>
      </c>
      <c r="BM33" s="948">
        <f t="shared" si="54"/>
        <v>320.15359999999998</v>
      </c>
      <c r="BN33" s="948">
        <f t="shared" si="54"/>
        <v>1680.004437333333</v>
      </c>
      <c r="BO33" s="948">
        <f t="shared" si="54"/>
        <v>1680.004437333333</v>
      </c>
      <c r="BP33" s="948">
        <f t="shared" si="54"/>
        <v>480.23039999999997</v>
      </c>
      <c r="BQ33" s="948">
        <f t="shared" si="54"/>
        <v>320.15359999999998</v>
      </c>
      <c r="BR33" s="948">
        <f>AZ33*BI33</f>
        <v>689.19219199999998</v>
      </c>
      <c r="BS33" s="948">
        <f t="shared" si="55"/>
        <v>0</v>
      </c>
      <c r="BT33" s="955">
        <f t="shared" si="56"/>
        <v>356.68996632996635</v>
      </c>
    </row>
    <row r="34" spans="1:72">
      <c r="A34" s="952">
        <v>8</v>
      </c>
      <c r="B34" s="952" t="s">
        <v>1119</v>
      </c>
      <c r="C34" s="950" t="s">
        <v>1120</v>
      </c>
      <c r="D34" s="950">
        <v>1</v>
      </c>
      <c r="E34" s="950">
        <v>1</v>
      </c>
      <c r="F34" s="948">
        <v>58.8</v>
      </c>
      <c r="G34" s="948">
        <v>0.25</v>
      </c>
      <c r="H34" s="948">
        <v>0.6</v>
      </c>
      <c r="I34" s="948">
        <v>0.12</v>
      </c>
      <c r="J34" s="948">
        <f t="shared" si="30"/>
        <v>0.48</v>
      </c>
      <c r="K34" s="948">
        <f t="shared" si="61"/>
        <v>7.0559999999999992</v>
      </c>
      <c r="L34" s="948">
        <f t="shared" si="57"/>
        <v>56.447999999999993</v>
      </c>
      <c r="M34" s="952"/>
      <c r="N34" s="950">
        <v>16</v>
      </c>
      <c r="O34" s="950">
        <v>16</v>
      </c>
      <c r="P34" s="950">
        <v>16</v>
      </c>
      <c r="Q34" s="950">
        <v>16</v>
      </c>
      <c r="R34" s="950">
        <v>16</v>
      </c>
      <c r="S34" s="950">
        <v>16</v>
      </c>
      <c r="T34" s="950">
        <v>8</v>
      </c>
      <c r="U34" s="950"/>
      <c r="V34" s="950"/>
      <c r="W34" s="950">
        <v>200</v>
      </c>
      <c r="X34" s="950">
        <v>100</v>
      </c>
      <c r="Y34" s="950">
        <v>100</v>
      </c>
      <c r="Z34" s="950">
        <v>4</v>
      </c>
      <c r="AA34" s="950">
        <v>4</v>
      </c>
      <c r="AB34" s="950">
        <v>2</v>
      </c>
      <c r="AC34" s="950">
        <v>2</v>
      </c>
      <c r="AD34" s="950">
        <v>4</v>
      </c>
      <c r="AE34" s="950">
        <v>4</v>
      </c>
      <c r="AF34" s="955">
        <f t="shared" si="32"/>
        <v>74.499999999999986</v>
      </c>
      <c r="AG34" s="955">
        <f t="shared" si="33"/>
        <v>294.99999999999994</v>
      </c>
      <c r="AH34" s="955">
        <f t="shared" si="34"/>
        <v>147.99999999999997</v>
      </c>
      <c r="AI34" s="955">
        <v>0</v>
      </c>
      <c r="AJ34" s="955">
        <v>0</v>
      </c>
      <c r="AK34" s="948">
        <f t="shared" si="35"/>
        <v>15.5</v>
      </c>
      <c r="AL34" s="948">
        <f t="shared" si="36"/>
        <v>15.5</v>
      </c>
      <c r="AM34" s="948">
        <f t="shared" si="37"/>
        <v>29.911999999999999</v>
      </c>
      <c r="AN34" s="948">
        <f t="shared" si="38"/>
        <v>29.911999999999999</v>
      </c>
      <c r="AO34" s="948">
        <f t="shared" si="39"/>
        <v>15.5</v>
      </c>
      <c r="AP34" s="948">
        <f t="shared" si="40"/>
        <v>15.5</v>
      </c>
      <c r="AQ34" s="948">
        <f t="shared" si="41"/>
        <v>1.508</v>
      </c>
      <c r="AR34" s="948">
        <f t="shared" si="62"/>
        <v>0</v>
      </c>
      <c r="AS34" s="948">
        <f t="shared" si="43"/>
        <v>0</v>
      </c>
      <c r="AT34" s="948">
        <f t="shared" si="44"/>
        <v>62</v>
      </c>
      <c r="AU34" s="948">
        <f t="shared" si="45"/>
        <v>62</v>
      </c>
      <c r="AV34" s="948">
        <f t="shared" si="46"/>
        <v>59.823999999999998</v>
      </c>
      <c r="AW34" s="948">
        <f t="shared" si="47"/>
        <v>59.823999999999998</v>
      </c>
      <c r="AX34" s="948">
        <f t="shared" si="48"/>
        <v>62</v>
      </c>
      <c r="AY34" s="948">
        <f t="shared" si="49"/>
        <v>62</v>
      </c>
      <c r="AZ34" s="948">
        <f t="shared" si="50"/>
        <v>780.38999999999987</v>
      </c>
      <c r="BA34" s="948">
        <f t="shared" si="51"/>
        <v>0</v>
      </c>
      <c r="BB34" s="948">
        <f t="shared" si="52"/>
        <v>0</v>
      </c>
      <c r="BC34" s="957">
        <f t="shared" si="53"/>
        <v>1.5786666666666667</v>
      </c>
      <c r="BD34" s="957">
        <f t="shared" si="53"/>
        <v>1.5786666666666667</v>
      </c>
      <c r="BE34" s="957">
        <f t="shared" si="53"/>
        <v>1.5786666666666667</v>
      </c>
      <c r="BF34" s="957">
        <f t="shared" si="53"/>
        <v>1.5786666666666667</v>
      </c>
      <c r="BG34" s="957">
        <f t="shared" si="53"/>
        <v>1.5786666666666667</v>
      </c>
      <c r="BH34" s="957">
        <f t="shared" si="53"/>
        <v>1.5786666666666667</v>
      </c>
      <c r="BI34" s="957">
        <f t="shared" si="53"/>
        <v>0.39466666666666667</v>
      </c>
      <c r="BJ34" s="957">
        <f t="shared" si="53"/>
        <v>0</v>
      </c>
      <c r="BK34" s="957">
        <f t="shared" si="53"/>
        <v>0</v>
      </c>
      <c r="BL34" s="948">
        <f t="shared" si="54"/>
        <v>97.87733333333334</v>
      </c>
      <c r="BM34" s="948">
        <f t="shared" si="54"/>
        <v>97.87733333333334</v>
      </c>
      <c r="BN34" s="948">
        <f t="shared" si="54"/>
        <v>94.442154666666667</v>
      </c>
      <c r="BO34" s="948">
        <f t="shared" si="54"/>
        <v>94.442154666666667</v>
      </c>
      <c r="BP34" s="948">
        <f t="shared" si="54"/>
        <v>97.87733333333334</v>
      </c>
      <c r="BQ34" s="948">
        <f t="shared" si="54"/>
        <v>97.87733333333334</v>
      </c>
      <c r="BR34" s="948">
        <f t="shared" si="54"/>
        <v>307.99391999999995</v>
      </c>
      <c r="BS34" s="948">
        <f t="shared" si="55"/>
        <v>0</v>
      </c>
      <c r="BT34" s="955">
        <f t="shared" si="56"/>
        <v>125.90526681783824</v>
      </c>
    </row>
    <row r="35" spans="1:72">
      <c r="A35" s="952">
        <v>9</v>
      </c>
      <c r="B35" s="952" t="s">
        <v>1121</v>
      </c>
      <c r="C35" s="950" t="s">
        <v>1122</v>
      </c>
      <c r="D35" s="950">
        <v>1</v>
      </c>
      <c r="E35" s="950">
        <v>1</v>
      </c>
      <c r="F35" s="948">
        <v>36</v>
      </c>
      <c r="G35" s="948">
        <v>0.25</v>
      </c>
      <c r="H35" s="948">
        <v>0.6</v>
      </c>
      <c r="I35" s="948">
        <v>0.12</v>
      </c>
      <c r="J35" s="948">
        <f t="shared" si="30"/>
        <v>0.48</v>
      </c>
      <c r="K35" s="948">
        <f t="shared" si="61"/>
        <v>4.32</v>
      </c>
      <c r="L35" s="948">
        <f t="shared" si="57"/>
        <v>34.56</v>
      </c>
      <c r="M35" s="952"/>
      <c r="N35" s="950">
        <v>16</v>
      </c>
      <c r="O35" s="950">
        <v>16</v>
      </c>
      <c r="P35" s="950">
        <v>16</v>
      </c>
      <c r="Q35" s="950">
        <v>16</v>
      </c>
      <c r="R35" s="950">
        <v>16</v>
      </c>
      <c r="S35" s="950">
        <v>16</v>
      </c>
      <c r="T35" s="950">
        <v>8</v>
      </c>
      <c r="U35" s="950"/>
      <c r="V35" s="950"/>
      <c r="W35" s="950">
        <v>200</v>
      </c>
      <c r="X35" s="950">
        <v>100</v>
      </c>
      <c r="Y35" s="950">
        <v>100</v>
      </c>
      <c r="Z35" s="950">
        <v>10</v>
      </c>
      <c r="AA35" s="950">
        <v>10</v>
      </c>
      <c r="AB35" s="950">
        <v>10</v>
      </c>
      <c r="AC35" s="950">
        <v>10</v>
      </c>
      <c r="AD35" s="950">
        <v>10</v>
      </c>
      <c r="AE35" s="950">
        <v>10</v>
      </c>
      <c r="AF35" s="955">
        <f t="shared" si="32"/>
        <v>46</v>
      </c>
      <c r="AG35" s="955">
        <f t="shared" si="33"/>
        <v>181</v>
      </c>
      <c r="AH35" s="955">
        <f t="shared" si="34"/>
        <v>91</v>
      </c>
      <c r="AI35" s="955">
        <v>0</v>
      </c>
      <c r="AJ35" s="955">
        <v>0</v>
      </c>
      <c r="AK35" s="948">
        <f t="shared" si="35"/>
        <v>9.8000000000000007</v>
      </c>
      <c r="AL35" s="948">
        <f t="shared" si="36"/>
        <v>9.8000000000000007</v>
      </c>
      <c r="AM35" s="948">
        <f t="shared" si="37"/>
        <v>18.512</v>
      </c>
      <c r="AN35" s="948">
        <f t="shared" si="38"/>
        <v>18.512</v>
      </c>
      <c r="AO35" s="948">
        <f t="shared" si="39"/>
        <v>9.8000000000000007</v>
      </c>
      <c r="AP35" s="948">
        <f t="shared" si="40"/>
        <v>9.8000000000000007</v>
      </c>
      <c r="AQ35" s="948">
        <f t="shared" si="41"/>
        <v>1.508</v>
      </c>
      <c r="AR35" s="948">
        <f t="shared" si="62"/>
        <v>0</v>
      </c>
      <c r="AS35" s="948">
        <f t="shared" si="43"/>
        <v>0</v>
      </c>
      <c r="AT35" s="948">
        <f t="shared" si="44"/>
        <v>98</v>
      </c>
      <c r="AU35" s="948">
        <f t="shared" si="45"/>
        <v>98</v>
      </c>
      <c r="AV35" s="948">
        <f t="shared" si="46"/>
        <v>185.12</v>
      </c>
      <c r="AW35" s="948">
        <f t="shared" si="47"/>
        <v>185.12</v>
      </c>
      <c r="AX35" s="948">
        <f t="shared" si="48"/>
        <v>98</v>
      </c>
      <c r="AY35" s="948">
        <f t="shared" si="49"/>
        <v>98</v>
      </c>
      <c r="AZ35" s="948">
        <f t="shared" si="50"/>
        <v>479.54399999999998</v>
      </c>
      <c r="BA35" s="948">
        <f t="shared" si="51"/>
        <v>0</v>
      </c>
      <c r="BB35" s="948">
        <f t="shared" si="52"/>
        <v>0</v>
      </c>
      <c r="BC35" s="957">
        <f t="shared" si="53"/>
        <v>1.5786666666666667</v>
      </c>
      <c r="BD35" s="957">
        <f t="shared" si="53"/>
        <v>1.5786666666666667</v>
      </c>
      <c r="BE35" s="957">
        <f t="shared" si="53"/>
        <v>1.5786666666666667</v>
      </c>
      <c r="BF35" s="957">
        <f t="shared" si="53"/>
        <v>1.5786666666666667</v>
      </c>
      <c r="BG35" s="957">
        <f t="shared" si="53"/>
        <v>1.5786666666666667</v>
      </c>
      <c r="BH35" s="957">
        <f t="shared" si="53"/>
        <v>1.5786666666666667</v>
      </c>
      <c r="BI35" s="957">
        <f t="shared" si="53"/>
        <v>0.39466666666666667</v>
      </c>
      <c r="BJ35" s="957">
        <f t="shared" si="53"/>
        <v>0</v>
      </c>
      <c r="BK35" s="957">
        <f t="shared" si="53"/>
        <v>0</v>
      </c>
      <c r="BL35" s="948">
        <f t="shared" si="54"/>
        <v>154.70933333333332</v>
      </c>
      <c r="BM35" s="948">
        <f t="shared" si="54"/>
        <v>154.70933333333332</v>
      </c>
      <c r="BN35" s="948">
        <f t="shared" si="54"/>
        <v>292.24277333333333</v>
      </c>
      <c r="BO35" s="948">
        <f t="shared" si="54"/>
        <v>292.24277333333333</v>
      </c>
      <c r="BP35" s="948">
        <f t="shared" si="54"/>
        <v>154.70933333333332</v>
      </c>
      <c r="BQ35" s="948">
        <f t="shared" si="54"/>
        <v>154.70933333333332</v>
      </c>
      <c r="BR35" s="948">
        <f t="shared" si="54"/>
        <v>189.260032</v>
      </c>
      <c r="BS35" s="948">
        <f t="shared" si="55"/>
        <v>0</v>
      </c>
      <c r="BT35" s="955">
        <f t="shared" si="56"/>
        <v>322.35715555555544</v>
      </c>
    </row>
    <row r="36" spans="1:72">
      <c r="A36" s="952">
        <v>10</v>
      </c>
      <c r="B36" s="952" t="s">
        <v>1087</v>
      </c>
      <c r="C36" s="950" t="s">
        <v>1123</v>
      </c>
      <c r="D36" s="950">
        <v>1</v>
      </c>
      <c r="E36" s="950">
        <v>1</v>
      </c>
      <c r="F36" s="948">
        <v>40</v>
      </c>
      <c r="G36" s="948">
        <v>0.25</v>
      </c>
      <c r="H36" s="948">
        <v>0.6</v>
      </c>
      <c r="I36" s="948">
        <v>0.12</v>
      </c>
      <c r="J36" s="948">
        <f t="shared" si="30"/>
        <v>0.48</v>
      </c>
      <c r="K36" s="948">
        <f t="shared" si="61"/>
        <v>4.8</v>
      </c>
      <c r="L36" s="948">
        <f t="shared" si="57"/>
        <v>38.4</v>
      </c>
      <c r="M36" s="952"/>
      <c r="N36" s="950">
        <v>16</v>
      </c>
      <c r="O36" s="950">
        <v>16</v>
      </c>
      <c r="P36" s="950">
        <v>16</v>
      </c>
      <c r="Q36" s="950">
        <v>16</v>
      </c>
      <c r="R36" s="950">
        <v>16</v>
      </c>
      <c r="S36" s="950">
        <v>16</v>
      </c>
      <c r="T36" s="950">
        <v>8</v>
      </c>
      <c r="U36" s="950"/>
      <c r="V36" s="950"/>
      <c r="W36" s="950">
        <v>200</v>
      </c>
      <c r="X36" s="950">
        <v>100</v>
      </c>
      <c r="Y36" s="950">
        <v>100</v>
      </c>
      <c r="Z36" s="950">
        <v>9</v>
      </c>
      <c r="AA36" s="950">
        <v>6</v>
      </c>
      <c r="AB36" s="950">
        <v>8</v>
      </c>
      <c r="AC36" s="950">
        <v>8</v>
      </c>
      <c r="AD36" s="950">
        <v>9</v>
      </c>
      <c r="AE36" s="950">
        <v>6</v>
      </c>
      <c r="AF36" s="955">
        <f t="shared" si="32"/>
        <v>51</v>
      </c>
      <c r="AG36" s="955">
        <f t="shared" si="33"/>
        <v>201</v>
      </c>
      <c r="AH36" s="955">
        <f t="shared" si="34"/>
        <v>101</v>
      </c>
      <c r="AI36" s="955">
        <v>0</v>
      </c>
      <c r="AJ36" s="955">
        <v>0</v>
      </c>
      <c r="AK36" s="948">
        <f t="shared" si="35"/>
        <v>10.8</v>
      </c>
      <c r="AL36" s="948">
        <f t="shared" si="36"/>
        <v>10.8</v>
      </c>
      <c r="AM36" s="948">
        <f t="shared" si="37"/>
        <v>20.512</v>
      </c>
      <c r="AN36" s="948">
        <f t="shared" si="38"/>
        <v>20.512</v>
      </c>
      <c r="AO36" s="948">
        <f t="shared" si="39"/>
        <v>10.8</v>
      </c>
      <c r="AP36" s="948">
        <f t="shared" si="40"/>
        <v>10.8</v>
      </c>
      <c r="AQ36" s="948">
        <f t="shared" si="41"/>
        <v>1.508</v>
      </c>
      <c r="AR36" s="948">
        <f t="shared" si="62"/>
        <v>0</v>
      </c>
      <c r="AS36" s="948">
        <f t="shared" si="43"/>
        <v>0</v>
      </c>
      <c r="AT36" s="948">
        <f t="shared" si="44"/>
        <v>97.2</v>
      </c>
      <c r="AU36" s="948">
        <f t="shared" si="45"/>
        <v>64.800000000000011</v>
      </c>
      <c r="AV36" s="948">
        <f t="shared" si="46"/>
        <v>164.096</v>
      </c>
      <c r="AW36" s="948">
        <f t="shared" si="47"/>
        <v>164.096</v>
      </c>
      <c r="AX36" s="948">
        <f t="shared" si="48"/>
        <v>97.2</v>
      </c>
      <c r="AY36" s="948">
        <f t="shared" si="49"/>
        <v>64.800000000000011</v>
      </c>
      <c r="AZ36" s="948">
        <f t="shared" si="50"/>
        <v>532.32399999999996</v>
      </c>
      <c r="BA36" s="948">
        <f t="shared" si="51"/>
        <v>0</v>
      </c>
      <c r="BB36" s="948">
        <f t="shared" si="52"/>
        <v>0</v>
      </c>
      <c r="BC36" s="957">
        <f t="shared" si="53"/>
        <v>1.5786666666666667</v>
      </c>
      <c r="BD36" s="957">
        <f t="shared" si="53"/>
        <v>1.5786666666666667</v>
      </c>
      <c r="BE36" s="957">
        <f t="shared" si="53"/>
        <v>1.5786666666666667</v>
      </c>
      <c r="BF36" s="957">
        <f t="shared" si="53"/>
        <v>1.5786666666666667</v>
      </c>
      <c r="BG36" s="957">
        <f t="shared" si="53"/>
        <v>1.5786666666666667</v>
      </c>
      <c r="BH36" s="957">
        <f t="shared" si="53"/>
        <v>1.5786666666666667</v>
      </c>
      <c r="BI36" s="957">
        <f t="shared" si="53"/>
        <v>0.39466666666666667</v>
      </c>
      <c r="BJ36" s="957">
        <f t="shared" si="53"/>
        <v>0</v>
      </c>
      <c r="BK36" s="957">
        <f t="shared" si="53"/>
        <v>0</v>
      </c>
      <c r="BL36" s="948">
        <f t="shared" si="54"/>
        <v>153.44640000000001</v>
      </c>
      <c r="BM36" s="948">
        <f t="shared" si="54"/>
        <v>102.29760000000002</v>
      </c>
      <c r="BN36" s="948">
        <f t="shared" si="54"/>
        <v>259.05288533333334</v>
      </c>
      <c r="BO36" s="948">
        <f t="shared" si="54"/>
        <v>259.05288533333334</v>
      </c>
      <c r="BP36" s="948">
        <f t="shared" si="54"/>
        <v>153.44640000000001</v>
      </c>
      <c r="BQ36" s="948">
        <f t="shared" si="54"/>
        <v>102.29760000000002</v>
      </c>
      <c r="BR36" s="948">
        <f t="shared" si="54"/>
        <v>210.09053866666665</v>
      </c>
      <c r="BS36" s="948">
        <f t="shared" si="55"/>
        <v>0</v>
      </c>
      <c r="BT36" s="955">
        <f t="shared" si="56"/>
        <v>258.26756444444447</v>
      </c>
    </row>
    <row r="37" spans="1:72">
      <c r="A37" s="952">
        <v>11</v>
      </c>
      <c r="B37" s="952" t="s">
        <v>1124</v>
      </c>
      <c r="C37" s="950" t="s">
        <v>1125</v>
      </c>
      <c r="D37" s="950">
        <v>1</v>
      </c>
      <c r="E37" s="950">
        <v>1</v>
      </c>
      <c r="F37" s="948">
        <v>24</v>
      </c>
      <c r="G37" s="948">
        <v>0.3</v>
      </c>
      <c r="H37" s="948">
        <v>0.65</v>
      </c>
      <c r="I37" s="948">
        <v>0.12</v>
      </c>
      <c r="J37" s="948">
        <f t="shared" si="30"/>
        <v>0.53</v>
      </c>
      <c r="K37" s="948">
        <f t="shared" si="61"/>
        <v>3.8159999999999998</v>
      </c>
      <c r="L37" s="948">
        <f t="shared" si="57"/>
        <v>25.44</v>
      </c>
      <c r="M37" s="952"/>
      <c r="N37" s="950">
        <f t="shared" ref="N37:S38" si="63">N33</f>
        <v>16</v>
      </c>
      <c r="O37" s="950">
        <f t="shared" si="63"/>
        <v>16</v>
      </c>
      <c r="P37" s="950">
        <f t="shared" si="63"/>
        <v>16</v>
      </c>
      <c r="Q37" s="950">
        <f t="shared" si="63"/>
        <v>16</v>
      </c>
      <c r="R37" s="950">
        <f t="shared" si="63"/>
        <v>16</v>
      </c>
      <c r="S37" s="950">
        <f t="shared" si="63"/>
        <v>16</v>
      </c>
      <c r="T37" s="950">
        <v>8</v>
      </c>
      <c r="U37" s="950"/>
      <c r="V37" s="950"/>
      <c r="W37" s="950">
        <v>200</v>
      </c>
      <c r="X37" s="950">
        <v>100</v>
      </c>
      <c r="Y37" s="950">
        <f t="shared" ref="Y37:Y38" si="64">Y33</f>
        <v>100</v>
      </c>
      <c r="Z37" s="950">
        <v>4</v>
      </c>
      <c r="AA37" s="950">
        <v>4</v>
      </c>
      <c r="AB37" s="950">
        <v>2</v>
      </c>
      <c r="AC37" s="950">
        <v>2</v>
      </c>
      <c r="AD37" s="950">
        <v>4</v>
      </c>
      <c r="AE37" s="950">
        <v>4</v>
      </c>
      <c r="AF37" s="955">
        <f t="shared" si="32"/>
        <v>31</v>
      </c>
      <c r="AG37" s="955">
        <f t="shared" si="33"/>
        <v>121</v>
      </c>
      <c r="AH37" s="955">
        <f t="shared" si="34"/>
        <v>61</v>
      </c>
      <c r="AI37" s="955">
        <v>0</v>
      </c>
      <c r="AJ37" s="955">
        <v>0</v>
      </c>
      <c r="AK37" s="948">
        <f t="shared" si="35"/>
        <v>6.8000000000000007</v>
      </c>
      <c r="AL37" s="948">
        <f t="shared" si="36"/>
        <v>6.8000000000000007</v>
      </c>
      <c r="AM37" s="948">
        <f t="shared" si="37"/>
        <v>12.512</v>
      </c>
      <c r="AN37" s="948">
        <f t="shared" si="38"/>
        <v>12.512</v>
      </c>
      <c r="AO37" s="948">
        <f t="shared" si="39"/>
        <v>6.8000000000000007</v>
      </c>
      <c r="AP37" s="948">
        <f t="shared" si="40"/>
        <v>6.8000000000000007</v>
      </c>
      <c r="AQ37" s="948">
        <f t="shared" si="41"/>
        <v>1.708</v>
      </c>
      <c r="AR37" s="948">
        <f t="shared" si="62"/>
        <v>0</v>
      </c>
      <c r="AS37" s="948">
        <f t="shared" si="43"/>
        <v>0</v>
      </c>
      <c r="AT37" s="948">
        <f t="shared" si="44"/>
        <v>27.200000000000003</v>
      </c>
      <c r="AU37" s="948">
        <f t="shared" si="45"/>
        <v>27.200000000000003</v>
      </c>
      <c r="AV37" s="948">
        <f t="shared" si="46"/>
        <v>25.024000000000001</v>
      </c>
      <c r="AW37" s="948">
        <f t="shared" si="47"/>
        <v>25.024000000000001</v>
      </c>
      <c r="AX37" s="948">
        <f t="shared" si="48"/>
        <v>27.200000000000003</v>
      </c>
      <c r="AY37" s="948">
        <f t="shared" si="49"/>
        <v>27.200000000000003</v>
      </c>
      <c r="AZ37" s="948">
        <f t="shared" si="50"/>
        <v>363.80399999999997</v>
      </c>
      <c r="BA37" s="948">
        <f t="shared" si="51"/>
        <v>0</v>
      </c>
      <c r="BB37" s="948">
        <f t="shared" si="52"/>
        <v>0</v>
      </c>
      <c r="BC37" s="957">
        <f t="shared" si="53"/>
        <v>1.5786666666666667</v>
      </c>
      <c r="BD37" s="957">
        <f t="shared" si="53"/>
        <v>1.5786666666666667</v>
      </c>
      <c r="BE37" s="957">
        <f t="shared" si="53"/>
        <v>1.5786666666666667</v>
      </c>
      <c r="BF37" s="957">
        <f t="shared" si="53"/>
        <v>1.5786666666666667</v>
      </c>
      <c r="BG37" s="957">
        <f t="shared" si="53"/>
        <v>1.5786666666666667</v>
      </c>
      <c r="BH37" s="957">
        <f t="shared" si="53"/>
        <v>1.5786666666666667</v>
      </c>
      <c r="BI37" s="957">
        <f t="shared" si="53"/>
        <v>0.39466666666666667</v>
      </c>
      <c r="BJ37" s="957">
        <f t="shared" si="53"/>
        <v>0</v>
      </c>
      <c r="BK37" s="957">
        <f t="shared" si="53"/>
        <v>0</v>
      </c>
      <c r="BL37" s="948">
        <f t="shared" si="54"/>
        <v>42.939733333333336</v>
      </c>
      <c r="BM37" s="948">
        <f t="shared" si="54"/>
        <v>42.939733333333336</v>
      </c>
      <c r="BN37" s="948">
        <f t="shared" si="54"/>
        <v>39.504554666666671</v>
      </c>
      <c r="BO37" s="948">
        <f t="shared" si="54"/>
        <v>39.504554666666671</v>
      </c>
      <c r="BP37" s="948">
        <f t="shared" si="54"/>
        <v>42.939733333333336</v>
      </c>
      <c r="BQ37" s="948">
        <f t="shared" si="54"/>
        <v>42.939733333333336</v>
      </c>
      <c r="BR37" s="948">
        <f t="shared" si="54"/>
        <v>143.581312</v>
      </c>
      <c r="BS37" s="948">
        <f t="shared" si="55"/>
        <v>0</v>
      </c>
      <c r="BT37" s="955">
        <f t="shared" si="56"/>
        <v>103.34102585604474</v>
      </c>
    </row>
    <row r="38" spans="1:72">
      <c r="A38" s="952">
        <v>12</v>
      </c>
      <c r="B38" s="952" t="s">
        <v>1126</v>
      </c>
      <c r="C38" s="950" t="s">
        <v>1127</v>
      </c>
      <c r="D38" s="950">
        <v>1</v>
      </c>
      <c r="E38" s="950">
        <v>1</v>
      </c>
      <c r="F38" s="948">
        <v>16</v>
      </c>
      <c r="G38" s="948">
        <v>0.3</v>
      </c>
      <c r="H38" s="948">
        <v>0.65</v>
      </c>
      <c r="I38" s="948">
        <v>0.12</v>
      </c>
      <c r="J38" s="948">
        <f t="shared" si="30"/>
        <v>0.53</v>
      </c>
      <c r="K38" s="948">
        <f t="shared" si="61"/>
        <v>2.544</v>
      </c>
      <c r="L38" s="948">
        <f t="shared" si="57"/>
        <v>16.96</v>
      </c>
      <c r="M38" s="952"/>
      <c r="N38" s="950">
        <f t="shared" si="63"/>
        <v>16</v>
      </c>
      <c r="O38" s="950">
        <f t="shared" si="63"/>
        <v>16</v>
      </c>
      <c r="P38" s="950">
        <f t="shared" si="63"/>
        <v>16</v>
      </c>
      <c r="Q38" s="950">
        <f t="shared" si="63"/>
        <v>16</v>
      </c>
      <c r="R38" s="950">
        <f t="shared" si="63"/>
        <v>16</v>
      </c>
      <c r="S38" s="950">
        <f t="shared" si="63"/>
        <v>16</v>
      </c>
      <c r="T38" s="950">
        <v>8</v>
      </c>
      <c r="U38" s="950"/>
      <c r="V38" s="950"/>
      <c r="W38" s="950">
        <v>200</v>
      </c>
      <c r="X38" s="950">
        <v>100</v>
      </c>
      <c r="Y38" s="950">
        <f t="shared" si="64"/>
        <v>100</v>
      </c>
      <c r="Z38" s="950">
        <v>4</v>
      </c>
      <c r="AA38" s="950">
        <v>4</v>
      </c>
      <c r="AB38" s="950">
        <v>2</v>
      </c>
      <c r="AC38" s="950">
        <v>2</v>
      </c>
      <c r="AD38" s="950">
        <v>4</v>
      </c>
      <c r="AE38" s="950">
        <v>4</v>
      </c>
      <c r="AF38" s="955">
        <f t="shared" si="32"/>
        <v>21</v>
      </c>
      <c r="AG38" s="955">
        <f t="shared" si="33"/>
        <v>81</v>
      </c>
      <c r="AH38" s="955">
        <f t="shared" si="34"/>
        <v>41</v>
      </c>
      <c r="AI38" s="955">
        <v>0</v>
      </c>
      <c r="AJ38" s="955">
        <v>0</v>
      </c>
      <c r="AK38" s="948">
        <f t="shared" si="35"/>
        <v>4.8000000000000007</v>
      </c>
      <c r="AL38" s="948">
        <f t="shared" si="36"/>
        <v>4.8000000000000007</v>
      </c>
      <c r="AM38" s="948">
        <f t="shared" si="37"/>
        <v>8.5120000000000005</v>
      </c>
      <c r="AN38" s="948">
        <f t="shared" si="38"/>
        <v>8.5120000000000005</v>
      </c>
      <c r="AO38" s="948">
        <f t="shared" si="39"/>
        <v>4.8000000000000007</v>
      </c>
      <c r="AP38" s="948">
        <f t="shared" si="40"/>
        <v>4.8000000000000007</v>
      </c>
      <c r="AQ38" s="948">
        <f t="shared" si="41"/>
        <v>1.708</v>
      </c>
      <c r="AR38" s="948">
        <f t="shared" si="62"/>
        <v>0</v>
      </c>
      <c r="AS38" s="948">
        <f t="shared" si="43"/>
        <v>0</v>
      </c>
      <c r="AT38" s="948">
        <f t="shared" si="44"/>
        <v>19.200000000000003</v>
      </c>
      <c r="AU38" s="948">
        <f t="shared" si="45"/>
        <v>19.200000000000003</v>
      </c>
      <c r="AV38" s="948">
        <f t="shared" si="46"/>
        <v>17.024000000000001</v>
      </c>
      <c r="AW38" s="948">
        <f t="shared" si="47"/>
        <v>17.024000000000001</v>
      </c>
      <c r="AX38" s="948">
        <f t="shared" si="48"/>
        <v>19.200000000000003</v>
      </c>
      <c r="AY38" s="948">
        <f t="shared" si="49"/>
        <v>19.200000000000003</v>
      </c>
      <c r="AZ38" s="948">
        <f t="shared" si="50"/>
        <v>244.244</v>
      </c>
      <c r="BA38" s="948">
        <f t="shared" si="51"/>
        <v>0</v>
      </c>
      <c r="BB38" s="948">
        <f t="shared" si="52"/>
        <v>0</v>
      </c>
      <c r="BC38" s="957">
        <f t="shared" si="53"/>
        <v>1.5786666666666667</v>
      </c>
      <c r="BD38" s="957">
        <f t="shared" si="53"/>
        <v>1.5786666666666667</v>
      </c>
      <c r="BE38" s="957">
        <f t="shared" si="53"/>
        <v>1.5786666666666667</v>
      </c>
      <c r="BF38" s="957">
        <f t="shared" si="53"/>
        <v>1.5786666666666667</v>
      </c>
      <c r="BG38" s="957">
        <f t="shared" si="53"/>
        <v>1.5786666666666667</v>
      </c>
      <c r="BH38" s="957">
        <f t="shared" si="53"/>
        <v>1.5786666666666667</v>
      </c>
      <c r="BI38" s="957">
        <f t="shared" si="53"/>
        <v>0.39466666666666667</v>
      </c>
      <c r="BJ38" s="957">
        <f t="shared" si="53"/>
        <v>0</v>
      </c>
      <c r="BK38" s="957">
        <f t="shared" si="53"/>
        <v>0</v>
      </c>
      <c r="BL38" s="948">
        <f t="shared" si="54"/>
        <v>30.310400000000005</v>
      </c>
      <c r="BM38" s="948">
        <f t="shared" si="54"/>
        <v>30.310400000000005</v>
      </c>
      <c r="BN38" s="948">
        <f t="shared" si="54"/>
        <v>26.875221333333336</v>
      </c>
      <c r="BO38" s="948">
        <f t="shared" si="54"/>
        <v>26.875221333333336</v>
      </c>
      <c r="BP38" s="948">
        <f t="shared" si="54"/>
        <v>30.310400000000005</v>
      </c>
      <c r="BQ38" s="948">
        <f t="shared" si="54"/>
        <v>30.310400000000005</v>
      </c>
      <c r="BR38" s="948">
        <f t="shared" si="54"/>
        <v>96.394965333333332</v>
      </c>
      <c r="BS38" s="948">
        <f t="shared" si="55"/>
        <v>0</v>
      </c>
      <c r="BT38" s="955">
        <f t="shared" si="56"/>
        <v>106.67728301886794</v>
      </c>
    </row>
    <row r="39" spans="1:72">
      <c r="A39" s="952">
        <v>13</v>
      </c>
      <c r="B39" s="952" t="s">
        <v>1128</v>
      </c>
      <c r="C39" s="950" t="s">
        <v>1129</v>
      </c>
      <c r="D39" s="950">
        <v>1</v>
      </c>
      <c r="E39" s="950">
        <v>1</v>
      </c>
      <c r="F39" s="948">
        <v>25.2</v>
      </c>
      <c r="G39" s="948">
        <v>0.3</v>
      </c>
      <c r="H39" s="948">
        <v>0.65</v>
      </c>
      <c r="I39" s="948">
        <v>0.12</v>
      </c>
      <c r="J39" s="948">
        <f t="shared" si="30"/>
        <v>0.53</v>
      </c>
      <c r="K39" s="948">
        <f t="shared" si="61"/>
        <v>4.0068000000000001</v>
      </c>
      <c r="L39" s="948">
        <f t="shared" si="57"/>
        <v>26.712</v>
      </c>
      <c r="M39" s="952"/>
      <c r="N39" s="950">
        <f t="shared" ref="N39:S39" si="65">N34</f>
        <v>16</v>
      </c>
      <c r="O39" s="950">
        <f t="shared" si="65"/>
        <v>16</v>
      </c>
      <c r="P39" s="950">
        <f t="shared" si="65"/>
        <v>16</v>
      </c>
      <c r="Q39" s="950">
        <f t="shared" si="65"/>
        <v>16</v>
      </c>
      <c r="R39" s="950">
        <f t="shared" si="65"/>
        <v>16</v>
      </c>
      <c r="S39" s="950">
        <f t="shared" si="65"/>
        <v>16</v>
      </c>
      <c r="T39" s="950">
        <v>8</v>
      </c>
      <c r="U39" s="950"/>
      <c r="V39" s="950"/>
      <c r="W39" s="950">
        <v>200</v>
      </c>
      <c r="X39" s="950">
        <v>100</v>
      </c>
      <c r="Y39" s="950">
        <f t="shared" ref="Y39" si="66">X39</f>
        <v>100</v>
      </c>
      <c r="Z39" s="950">
        <v>9</v>
      </c>
      <c r="AA39" s="950">
        <v>6</v>
      </c>
      <c r="AB39" s="950">
        <v>16</v>
      </c>
      <c r="AC39" s="950">
        <v>16</v>
      </c>
      <c r="AD39" s="950">
        <v>9</v>
      </c>
      <c r="AE39" s="950">
        <v>6</v>
      </c>
      <c r="AF39" s="955">
        <f t="shared" si="32"/>
        <v>32.5</v>
      </c>
      <c r="AG39" s="955">
        <f t="shared" si="33"/>
        <v>126.99999999999999</v>
      </c>
      <c r="AH39" s="955">
        <f t="shared" si="34"/>
        <v>63.999999999999993</v>
      </c>
      <c r="AI39" s="955">
        <v>0</v>
      </c>
      <c r="AJ39" s="955">
        <v>0</v>
      </c>
      <c r="AK39" s="948">
        <f t="shared" si="35"/>
        <v>7.1000000000000005</v>
      </c>
      <c r="AL39" s="948">
        <f t="shared" si="36"/>
        <v>7.1000000000000005</v>
      </c>
      <c r="AM39" s="948">
        <f t="shared" si="37"/>
        <v>13.112</v>
      </c>
      <c r="AN39" s="948">
        <f t="shared" si="38"/>
        <v>13.112</v>
      </c>
      <c r="AO39" s="948">
        <f t="shared" si="39"/>
        <v>7.1000000000000005</v>
      </c>
      <c r="AP39" s="948">
        <f t="shared" si="40"/>
        <v>7.1000000000000005</v>
      </c>
      <c r="AQ39" s="948">
        <f t="shared" si="41"/>
        <v>1.708</v>
      </c>
      <c r="AR39" s="948">
        <f t="shared" si="62"/>
        <v>0</v>
      </c>
      <c r="AS39" s="948">
        <f t="shared" si="43"/>
        <v>0</v>
      </c>
      <c r="AT39" s="948">
        <f t="shared" si="44"/>
        <v>63.900000000000006</v>
      </c>
      <c r="AU39" s="948">
        <f t="shared" si="45"/>
        <v>42.6</v>
      </c>
      <c r="AV39" s="948">
        <f t="shared" si="46"/>
        <v>209.792</v>
      </c>
      <c r="AW39" s="948">
        <f t="shared" si="47"/>
        <v>209.792</v>
      </c>
      <c r="AX39" s="948">
        <f t="shared" si="48"/>
        <v>63.900000000000006</v>
      </c>
      <c r="AY39" s="948">
        <f t="shared" si="49"/>
        <v>42.6</v>
      </c>
      <c r="AZ39" s="948">
        <f t="shared" si="50"/>
        <v>381.738</v>
      </c>
      <c r="BA39" s="948">
        <f t="shared" si="51"/>
        <v>0</v>
      </c>
      <c r="BB39" s="948">
        <f t="shared" si="52"/>
        <v>0</v>
      </c>
      <c r="BC39" s="957">
        <f t="shared" si="53"/>
        <v>1.5786666666666667</v>
      </c>
      <c r="BD39" s="957">
        <f t="shared" si="53"/>
        <v>1.5786666666666667</v>
      </c>
      <c r="BE39" s="957">
        <f t="shared" si="53"/>
        <v>1.5786666666666667</v>
      </c>
      <c r="BF39" s="957">
        <f t="shared" si="53"/>
        <v>1.5786666666666667</v>
      </c>
      <c r="BG39" s="957">
        <f t="shared" si="53"/>
        <v>1.5786666666666667</v>
      </c>
      <c r="BH39" s="957">
        <f t="shared" si="53"/>
        <v>1.5786666666666667</v>
      </c>
      <c r="BI39" s="957">
        <f t="shared" si="53"/>
        <v>0.39466666666666667</v>
      </c>
      <c r="BJ39" s="957">
        <f t="shared" si="53"/>
        <v>0</v>
      </c>
      <c r="BK39" s="957">
        <f t="shared" si="53"/>
        <v>0</v>
      </c>
      <c r="BL39" s="948">
        <f t="shared" si="54"/>
        <v>100.8768</v>
      </c>
      <c r="BM39" s="948">
        <f t="shared" si="54"/>
        <v>67.251199999999997</v>
      </c>
      <c r="BN39" s="948">
        <f t="shared" si="54"/>
        <v>331.19163733333335</v>
      </c>
      <c r="BO39" s="948">
        <f t="shared" si="54"/>
        <v>331.19163733333335</v>
      </c>
      <c r="BP39" s="948">
        <f t="shared" si="54"/>
        <v>100.8768</v>
      </c>
      <c r="BQ39" s="948">
        <f t="shared" si="54"/>
        <v>67.251199999999997</v>
      </c>
      <c r="BR39" s="948">
        <f t="shared" si="54"/>
        <v>150.65926400000001</v>
      </c>
      <c r="BS39" s="948">
        <f t="shared" si="55"/>
        <v>0</v>
      </c>
      <c r="BT39" s="955">
        <f t="shared" si="56"/>
        <v>286.83701174669727</v>
      </c>
    </row>
    <row r="40" spans="1:72">
      <c r="A40" s="952"/>
      <c r="B40" s="952"/>
      <c r="C40" s="950"/>
      <c r="D40" s="950"/>
      <c r="E40" s="950"/>
      <c r="F40" s="948"/>
      <c r="G40" s="948"/>
      <c r="H40" s="948"/>
      <c r="I40" s="948"/>
      <c r="J40" s="948"/>
      <c r="K40" s="948">
        <f>SUM(K14:K39)</f>
        <v>300.99719999999991</v>
      </c>
      <c r="L40" s="948">
        <f>SUM(L14:L39)</f>
        <v>2202.5520000000001</v>
      </c>
      <c r="M40" s="952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0"/>
      <c r="Y40" s="950"/>
      <c r="Z40" s="950"/>
      <c r="AA40" s="950"/>
      <c r="AB40" s="950"/>
      <c r="AC40" s="950"/>
      <c r="AD40" s="950"/>
      <c r="AE40" s="950"/>
      <c r="AF40" s="955"/>
      <c r="AG40" s="955"/>
      <c r="AH40" s="955"/>
      <c r="AI40" s="955"/>
      <c r="AJ40" s="955"/>
      <c r="AK40" s="948"/>
      <c r="AL40" s="948"/>
      <c r="AM40" s="948"/>
      <c r="AN40" s="948"/>
      <c r="AO40" s="948"/>
      <c r="AP40" s="948"/>
      <c r="AQ40" s="948"/>
      <c r="AR40" s="948"/>
      <c r="AS40" s="948"/>
      <c r="AT40" s="948"/>
      <c r="AU40" s="948"/>
      <c r="AV40" s="948"/>
      <c r="AW40" s="948"/>
      <c r="AX40" s="948"/>
      <c r="AY40" s="948"/>
      <c r="AZ40" s="948"/>
      <c r="BA40" s="948"/>
      <c r="BB40" s="948"/>
      <c r="BC40" s="957"/>
      <c r="BD40" s="957"/>
      <c r="BE40" s="957"/>
      <c r="BF40" s="957"/>
      <c r="BG40" s="957"/>
      <c r="BH40" s="957"/>
      <c r="BI40" s="957"/>
      <c r="BJ40" s="957"/>
      <c r="BK40" s="957"/>
      <c r="BL40" s="948"/>
      <c r="BM40" s="948"/>
      <c r="BN40" s="948"/>
      <c r="BO40" s="948"/>
      <c r="BP40" s="948"/>
      <c r="BQ40" s="948"/>
      <c r="BR40" s="948"/>
      <c r="BS40" s="948"/>
      <c r="BT40" s="955"/>
    </row>
    <row r="41" spans="1:72" ht="22.5">
      <c r="A41" s="961"/>
      <c r="B41" s="961"/>
      <c r="C41" s="962"/>
      <c r="D41" s="962"/>
      <c r="E41" s="962"/>
      <c r="F41" s="963"/>
      <c r="G41" s="963"/>
      <c r="H41" s="963"/>
      <c r="I41" s="963"/>
      <c r="J41" s="963"/>
      <c r="K41" s="963"/>
      <c r="L41" s="963"/>
      <c r="M41" s="961"/>
      <c r="N41" s="962"/>
      <c r="O41" s="962"/>
      <c r="P41" s="962"/>
      <c r="Q41" s="962"/>
      <c r="R41" s="962"/>
      <c r="S41" s="962"/>
      <c r="T41" s="962"/>
      <c r="U41" s="962"/>
      <c r="V41" s="962"/>
      <c r="W41" s="962"/>
      <c r="X41" s="962"/>
      <c r="Y41" s="950"/>
      <c r="Z41" s="950"/>
      <c r="AA41" s="950"/>
      <c r="AB41" s="950"/>
      <c r="AC41" s="950"/>
      <c r="AD41" s="950"/>
      <c r="AE41" s="950"/>
      <c r="AF41" s="955"/>
      <c r="AG41" s="955"/>
      <c r="AH41" s="955"/>
      <c r="AI41" s="955"/>
      <c r="AJ41" s="955"/>
      <c r="AK41" s="948"/>
      <c r="AL41" s="948"/>
      <c r="AM41" s="948"/>
      <c r="AN41" s="948"/>
      <c r="AO41" s="948"/>
      <c r="AP41" s="948"/>
      <c r="AQ41" s="948"/>
      <c r="AR41" s="948"/>
      <c r="AS41" s="948"/>
      <c r="AT41" s="948"/>
      <c r="AU41" s="948"/>
      <c r="AV41" s="948"/>
      <c r="AW41" s="948"/>
      <c r="AX41" s="948"/>
      <c r="AY41" s="948"/>
      <c r="AZ41" s="948"/>
      <c r="BA41" s="948"/>
      <c r="BB41" s="948"/>
      <c r="BC41" s="957"/>
      <c r="BD41" s="957"/>
      <c r="BE41" s="957"/>
      <c r="BF41" s="957"/>
      <c r="BG41" s="957"/>
      <c r="BH41" s="957"/>
      <c r="BI41" s="957"/>
      <c r="BJ41" s="957"/>
      <c r="BK41" s="957"/>
      <c r="BL41" s="948"/>
      <c r="BM41" s="948"/>
      <c r="BN41" s="948"/>
      <c r="BO41" s="948"/>
      <c r="BP41" s="948"/>
      <c r="BQ41" s="948"/>
      <c r="BR41" s="948"/>
      <c r="BS41" s="948"/>
      <c r="BT41" s="955"/>
    </row>
    <row r="42" spans="1:72">
      <c r="A42" s="952"/>
      <c r="B42" s="952"/>
      <c r="C42" s="950"/>
      <c r="D42" s="964"/>
      <c r="E42" s="950"/>
      <c r="F42" s="948"/>
      <c r="G42" s="948"/>
      <c r="H42" s="948"/>
      <c r="I42" s="948"/>
      <c r="J42" s="948"/>
      <c r="K42" s="948"/>
      <c r="L42" s="948"/>
      <c r="M42" s="952"/>
      <c r="N42" s="952"/>
      <c r="O42" s="952"/>
      <c r="P42" s="950"/>
      <c r="Q42" s="950"/>
      <c r="R42" s="950"/>
      <c r="S42" s="950"/>
      <c r="T42" s="950"/>
      <c r="U42" s="964"/>
      <c r="V42" s="950"/>
      <c r="W42" s="950"/>
      <c r="X42" s="950"/>
      <c r="Y42" s="950"/>
      <c r="Z42" s="950"/>
      <c r="AA42" s="950"/>
      <c r="AB42" s="950"/>
      <c r="AC42" s="950"/>
      <c r="AD42" s="950"/>
      <c r="AE42" s="950"/>
      <c r="AF42" s="955"/>
      <c r="AG42" s="955"/>
      <c r="AH42" s="955"/>
      <c r="AI42" s="955"/>
      <c r="AJ42" s="955"/>
      <c r="AK42" s="948"/>
      <c r="AL42" s="948"/>
      <c r="AM42" s="948"/>
      <c r="AN42" s="948"/>
      <c r="AO42" s="948"/>
      <c r="AP42" s="948"/>
      <c r="AQ42" s="948"/>
      <c r="AR42" s="948"/>
      <c r="AS42" s="948"/>
      <c r="AT42" s="948"/>
      <c r="AU42" s="948"/>
      <c r="AV42" s="948"/>
      <c r="AW42" s="948"/>
      <c r="AX42" s="948"/>
      <c r="AY42" s="948"/>
      <c r="AZ42" s="948"/>
      <c r="BA42" s="948"/>
      <c r="BB42" s="948"/>
      <c r="BC42" s="957"/>
      <c r="BD42" s="957"/>
      <c r="BE42" s="957"/>
      <c r="BF42" s="957"/>
      <c r="BG42" s="957"/>
      <c r="BH42" s="957"/>
      <c r="BI42" s="957"/>
      <c r="BJ42" s="957"/>
      <c r="BK42" s="957"/>
      <c r="BL42" s="948"/>
      <c r="BM42" s="948"/>
      <c r="BN42" s="948"/>
      <c r="BO42" s="948"/>
      <c r="BP42" s="948"/>
      <c r="BQ42" s="948"/>
      <c r="BR42" s="948"/>
      <c r="BS42" s="948"/>
      <c r="BT42" s="955"/>
    </row>
    <row r="43" spans="1:72">
      <c r="A43" s="952"/>
      <c r="B43" s="952"/>
      <c r="C43" s="950"/>
      <c r="D43" s="964"/>
      <c r="E43" s="950"/>
      <c r="F43" s="948"/>
      <c r="G43" s="948"/>
      <c r="H43" s="948"/>
      <c r="I43" s="948"/>
      <c r="J43" s="948"/>
      <c r="K43" s="948"/>
      <c r="L43" s="948"/>
      <c r="M43" s="952"/>
      <c r="N43" s="952"/>
      <c r="O43" s="952"/>
      <c r="P43" s="950"/>
      <c r="Q43" s="950"/>
      <c r="R43" s="950"/>
      <c r="S43" s="950"/>
      <c r="T43" s="950"/>
      <c r="U43" s="964"/>
      <c r="V43" s="950"/>
      <c r="W43" s="950"/>
      <c r="X43" s="950"/>
      <c r="Y43" s="950"/>
      <c r="Z43" s="950"/>
      <c r="AA43" s="950"/>
      <c r="AB43" s="950"/>
      <c r="AC43" s="950"/>
      <c r="AD43" s="950"/>
      <c r="AE43" s="950"/>
      <c r="AF43" s="955"/>
      <c r="AG43" s="955"/>
      <c r="AH43" s="955"/>
      <c r="AI43" s="955"/>
      <c r="AJ43" s="955"/>
      <c r="AK43" s="948"/>
      <c r="AL43" s="948"/>
      <c r="AM43" s="948"/>
      <c r="AN43" s="948"/>
      <c r="AO43" s="948"/>
      <c r="AP43" s="948"/>
      <c r="AQ43" s="948"/>
      <c r="AR43" s="948"/>
      <c r="AS43" s="948"/>
      <c r="AT43" s="948"/>
      <c r="AU43" s="948"/>
      <c r="AV43" s="948"/>
      <c r="AW43" s="948"/>
      <c r="AX43" s="948"/>
      <c r="AY43" s="948"/>
      <c r="AZ43" s="948"/>
      <c r="BA43" s="948"/>
      <c r="BB43" s="948"/>
      <c r="BC43" s="957"/>
      <c r="BD43" s="957"/>
      <c r="BE43" s="957"/>
      <c r="BF43" s="957"/>
      <c r="BG43" s="957"/>
      <c r="BH43" s="957"/>
      <c r="BI43" s="957"/>
      <c r="BJ43" s="957"/>
      <c r="BK43" s="957"/>
      <c r="BL43" s="948"/>
      <c r="BM43" s="948"/>
      <c r="BN43" s="948"/>
      <c r="BO43" s="948"/>
      <c r="BP43" s="948"/>
      <c r="BQ43" s="948"/>
      <c r="BR43" s="948"/>
      <c r="BS43" s="948"/>
      <c r="BT43" s="955"/>
    </row>
    <row r="44" spans="1:72">
      <c r="A44" s="952"/>
      <c r="B44" s="952"/>
      <c r="C44" s="950"/>
      <c r="D44" s="964"/>
      <c r="E44" s="950"/>
      <c r="F44" s="948"/>
      <c r="G44" s="948"/>
      <c r="H44" s="948"/>
      <c r="I44" s="948"/>
      <c r="J44" s="948"/>
      <c r="K44" s="948"/>
      <c r="L44" s="948"/>
      <c r="M44" s="952"/>
      <c r="N44" s="952"/>
      <c r="O44" s="952"/>
      <c r="P44" s="950"/>
      <c r="Q44" s="950"/>
      <c r="R44" s="950"/>
      <c r="S44" s="950"/>
      <c r="T44" s="950"/>
      <c r="U44" s="964"/>
      <c r="V44" s="950"/>
      <c r="W44" s="950"/>
      <c r="X44" s="950"/>
      <c r="Y44" s="950"/>
      <c r="Z44" s="950"/>
      <c r="AA44" s="950"/>
      <c r="AB44" s="950"/>
      <c r="AC44" s="950"/>
      <c r="AD44" s="950"/>
      <c r="AE44" s="950"/>
      <c r="AF44" s="955"/>
      <c r="AG44" s="955"/>
      <c r="AH44" s="955"/>
      <c r="AI44" s="955"/>
      <c r="AJ44" s="955"/>
      <c r="AK44" s="948"/>
      <c r="AL44" s="948"/>
      <c r="AM44" s="948"/>
      <c r="AN44" s="948"/>
      <c r="AO44" s="948"/>
      <c r="AP44" s="948"/>
      <c r="AQ44" s="948"/>
      <c r="AR44" s="948"/>
      <c r="AS44" s="948"/>
      <c r="AT44" s="948"/>
      <c r="AU44" s="948"/>
      <c r="AV44" s="948"/>
      <c r="AW44" s="948"/>
      <c r="AX44" s="948"/>
      <c r="AY44" s="948"/>
      <c r="AZ44" s="948"/>
      <c r="BA44" s="948"/>
      <c r="BB44" s="948"/>
      <c r="BC44" s="957"/>
      <c r="BD44" s="957"/>
      <c r="BE44" s="957"/>
      <c r="BF44" s="957"/>
      <c r="BG44" s="957"/>
      <c r="BH44" s="957"/>
      <c r="BI44" s="957"/>
      <c r="BJ44" s="957"/>
      <c r="BK44" s="957"/>
      <c r="BL44" s="948"/>
      <c r="BM44" s="948"/>
      <c r="BN44" s="948"/>
      <c r="BO44" s="948"/>
      <c r="BP44" s="948"/>
      <c r="BQ44" s="948"/>
      <c r="BR44" s="948"/>
      <c r="BS44" s="948"/>
      <c r="BT44" s="955"/>
    </row>
    <row r="45" spans="1:72">
      <c r="A45" s="952"/>
      <c r="B45" s="952"/>
      <c r="C45" s="950"/>
      <c r="D45" s="964"/>
      <c r="E45" s="950"/>
      <c r="F45" s="948"/>
      <c r="G45" s="948"/>
      <c r="H45" s="948"/>
      <c r="I45" s="948"/>
      <c r="J45" s="948"/>
      <c r="K45" s="948"/>
      <c r="L45" s="948"/>
      <c r="M45" s="952"/>
      <c r="N45" s="952"/>
      <c r="O45" s="952"/>
      <c r="P45" s="950"/>
      <c r="Q45" s="950"/>
      <c r="R45" s="950"/>
      <c r="S45" s="950"/>
      <c r="T45" s="950"/>
      <c r="U45" s="964"/>
      <c r="V45" s="950"/>
      <c r="W45" s="950"/>
      <c r="X45" s="950"/>
      <c r="Y45" s="950"/>
      <c r="Z45" s="950"/>
      <c r="AA45" s="950"/>
      <c r="AB45" s="950"/>
      <c r="AC45" s="950"/>
      <c r="AD45" s="950"/>
      <c r="AE45" s="950"/>
      <c r="AF45" s="955"/>
      <c r="AG45" s="955"/>
      <c r="AH45" s="955"/>
      <c r="AI45" s="955"/>
      <c r="AJ45" s="955"/>
      <c r="AK45" s="948"/>
      <c r="AL45" s="948"/>
      <c r="AM45" s="948"/>
      <c r="AN45" s="948"/>
      <c r="AO45" s="948"/>
      <c r="AP45" s="948"/>
      <c r="AQ45" s="948"/>
      <c r="AR45" s="948"/>
      <c r="AS45" s="948"/>
      <c r="AT45" s="948"/>
      <c r="AU45" s="948"/>
      <c r="AV45" s="948"/>
      <c r="AW45" s="948"/>
      <c r="AX45" s="948"/>
      <c r="AY45" s="948"/>
      <c r="AZ45" s="948"/>
      <c r="BA45" s="948"/>
      <c r="BB45" s="948"/>
      <c r="BC45" s="957"/>
      <c r="BD45" s="957"/>
      <c r="BE45" s="957"/>
      <c r="BF45" s="957"/>
      <c r="BG45" s="957"/>
      <c r="BH45" s="957"/>
      <c r="BI45" s="957"/>
      <c r="BJ45" s="957"/>
      <c r="BK45" s="957"/>
      <c r="BL45" s="948"/>
      <c r="BM45" s="948"/>
      <c r="BN45" s="948"/>
      <c r="BO45" s="948"/>
      <c r="BP45" s="948"/>
      <c r="BQ45" s="948"/>
      <c r="BR45" s="948"/>
      <c r="BS45" s="948"/>
      <c r="BT45" s="955"/>
    </row>
    <row r="46" spans="1:72">
      <c r="A46" s="952"/>
      <c r="B46" s="952"/>
      <c r="C46" s="950"/>
      <c r="D46" s="950"/>
      <c r="E46" s="950"/>
      <c r="F46" s="948"/>
      <c r="G46" s="948"/>
      <c r="H46" s="948"/>
      <c r="I46" s="948"/>
      <c r="J46" s="948"/>
      <c r="K46" s="948"/>
      <c r="L46" s="948"/>
      <c r="M46" s="952"/>
      <c r="N46" s="950"/>
      <c r="O46" s="950"/>
      <c r="P46" s="950"/>
      <c r="Q46" s="950"/>
      <c r="R46" s="950"/>
      <c r="S46" s="950"/>
      <c r="T46" s="950"/>
      <c r="U46" s="950"/>
      <c r="V46" s="950"/>
      <c r="W46" s="950"/>
      <c r="X46" s="950"/>
      <c r="Y46" s="950"/>
      <c r="Z46" s="950"/>
      <c r="AA46" s="950"/>
      <c r="AB46" s="950"/>
      <c r="AC46" s="950"/>
      <c r="AD46" s="950"/>
      <c r="AE46" s="950"/>
      <c r="AF46" s="955"/>
      <c r="AG46" s="955"/>
      <c r="AH46" s="955"/>
      <c r="AI46" s="955"/>
      <c r="AJ46" s="955"/>
      <c r="AK46" s="948"/>
      <c r="AL46" s="948"/>
      <c r="AM46" s="948"/>
      <c r="AN46" s="948"/>
      <c r="AO46" s="948"/>
      <c r="AP46" s="948"/>
      <c r="AQ46" s="948"/>
      <c r="AR46" s="948"/>
      <c r="AS46" s="948"/>
      <c r="AT46" s="948"/>
      <c r="AU46" s="948"/>
      <c r="AV46" s="948"/>
      <c r="AW46" s="948"/>
      <c r="AX46" s="948"/>
      <c r="AY46" s="948"/>
      <c r="AZ46" s="948"/>
      <c r="BA46" s="948"/>
      <c r="BB46" s="948"/>
      <c r="BC46" s="957"/>
      <c r="BD46" s="957"/>
      <c r="BE46" s="957"/>
      <c r="BF46" s="957"/>
      <c r="BG46" s="957"/>
      <c r="BH46" s="957"/>
      <c r="BI46" s="957"/>
      <c r="BJ46" s="957"/>
      <c r="BK46" s="957"/>
      <c r="BL46" s="948"/>
      <c r="BM46" s="948"/>
      <c r="BN46" s="948"/>
      <c r="BO46" s="948"/>
      <c r="BP46" s="948"/>
      <c r="BQ46" s="948"/>
      <c r="BR46" s="948"/>
      <c r="BS46" s="948"/>
      <c r="BT46" s="955"/>
    </row>
    <row r="47" spans="1:72">
      <c r="A47" s="949" t="s">
        <v>66</v>
      </c>
      <c r="B47" s="949" t="s">
        <v>1050</v>
      </c>
      <c r="C47" s="949" t="s">
        <v>983</v>
      </c>
      <c r="D47" s="950" t="s">
        <v>1051</v>
      </c>
      <c r="E47" s="950" t="s">
        <v>1052</v>
      </c>
      <c r="F47" s="951" t="s">
        <v>984</v>
      </c>
      <c r="G47" s="951"/>
      <c r="H47" s="951"/>
      <c r="I47" s="948" t="s">
        <v>985</v>
      </c>
      <c r="J47" s="948" t="s">
        <v>1053</v>
      </c>
      <c r="K47" s="948" t="s">
        <v>392</v>
      </c>
      <c r="L47" s="948" t="s">
        <v>377</v>
      </c>
      <c r="M47" s="952"/>
      <c r="N47" s="949" t="s">
        <v>1054</v>
      </c>
      <c r="O47" s="949"/>
      <c r="P47" s="949"/>
      <c r="Q47" s="949"/>
      <c r="R47" s="949"/>
      <c r="S47" s="949"/>
      <c r="T47" s="949" t="s">
        <v>1055</v>
      </c>
      <c r="U47" s="949"/>
      <c r="V47" s="949"/>
      <c r="W47" s="949" t="s">
        <v>989</v>
      </c>
      <c r="X47" s="949"/>
      <c r="Y47" s="949"/>
      <c r="Z47" s="949" t="s">
        <v>1056</v>
      </c>
      <c r="AA47" s="949"/>
      <c r="AB47" s="949"/>
      <c r="AC47" s="949"/>
      <c r="AD47" s="949"/>
      <c r="AE47" s="949"/>
      <c r="AF47" s="953" t="s">
        <v>1057</v>
      </c>
      <c r="AG47" s="953"/>
      <c r="AH47" s="953"/>
      <c r="AI47" s="953"/>
      <c r="AJ47" s="953"/>
      <c r="AK47" s="951" t="s">
        <v>1058</v>
      </c>
      <c r="AL47" s="951"/>
      <c r="AM47" s="951"/>
      <c r="AN47" s="951"/>
      <c r="AO47" s="951"/>
      <c r="AP47" s="951"/>
      <c r="AQ47" s="951" t="s">
        <v>1059</v>
      </c>
      <c r="AR47" s="951"/>
      <c r="AS47" s="951"/>
      <c r="AT47" s="951" t="s">
        <v>1060</v>
      </c>
      <c r="AU47" s="951"/>
      <c r="AV47" s="951"/>
      <c r="AW47" s="951"/>
      <c r="AX47" s="951"/>
      <c r="AY47" s="951"/>
      <c r="AZ47" s="951" t="s">
        <v>1061</v>
      </c>
      <c r="BA47" s="951"/>
      <c r="BB47" s="951"/>
      <c r="BC47" s="954" t="s">
        <v>1062</v>
      </c>
      <c r="BD47" s="954"/>
      <c r="BE47" s="954"/>
      <c r="BF47" s="954"/>
      <c r="BG47" s="954"/>
      <c r="BH47" s="954"/>
      <c r="BI47" s="954" t="s">
        <v>996</v>
      </c>
      <c r="BJ47" s="954"/>
      <c r="BK47" s="954"/>
      <c r="BL47" s="951" t="s">
        <v>997</v>
      </c>
      <c r="BM47" s="951"/>
      <c r="BN47" s="951"/>
      <c r="BO47" s="951"/>
      <c r="BP47" s="951"/>
      <c r="BQ47" s="951"/>
      <c r="BR47" s="951"/>
      <c r="BS47" s="951"/>
      <c r="BT47" s="955" t="s">
        <v>998</v>
      </c>
    </row>
    <row r="48" spans="1:72">
      <c r="A48" s="949"/>
      <c r="B48" s="949"/>
      <c r="C48" s="949"/>
      <c r="D48" s="949" t="s">
        <v>1063</v>
      </c>
      <c r="E48" s="949" t="s">
        <v>391</v>
      </c>
      <c r="F48" s="948" t="s">
        <v>999</v>
      </c>
      <c r="G48" s="948" t="s">
        <v>1000</v>
      </c>
      <c r="H48" s="948" t="s">
        <v>1001</v>
      </c>
      <c r="I48" s="948" t="s">
        <v>1002</v>
      </c>
      <c r="J48" s="948" t="s">
        <v>1003</v>
      </c>
      <c r="K48" s="951" t="s">
        <v>1064</v>
      </c>
      <c r="L48" s="948"/>
      <c r="M48" s="952"/>
      <c r="N48" s="949" t="s">
        <v>1001</v>
      </c>
      <c r="O48" s="949"/>
      <c r="P48" s="949" t="s">
        <v>1000</v>
      </c>
      <c r="Q48" s="949"/>
      <c r="R48" s="949" t="s">
        <v>1001</v>
      </c>
      <c r="S48" s="949"/>
      <c r="T48" s="950" t="s">
        <v>1007</v>
      </c>
      <c r="U48" s="949" t="s">
        <v>1005</v>
      </c>
      <c r="V48" s="949"/>
      <c r="W48" s="949"/>
      <c r="X48" s="949" t="s">
        <v>1000</v>
      </c>
      <c r="Y48" s="949" t="s">
        <v>1001</v>
      </c>
      <c r="Z48" s="949" t="s">
        <v>1001</v>
      </c>
      <c r="AA48" s="949"/>
      <c r="AB48" s="949" t="s">
        <v>1000</v>
      </c>
      <c r="AC48" s="949"/>
      <c r="AD48" s="949" t="s">
        <v>1001</v>
      </c>
      <c r="AE48" s="949"/>
      <c r="AF48" s="953" t="s">
        <v>1004</v>
      </c>
      <c r="AG48" s="953"/>
      <c r="AH48" s="953"/>
      <c r="AI48" s="953" t="s">
        <v>1065</v>
      </c>
      <c r="AJ48" s="953"/>
      <c r="AK48" s="951" t="s">
        <v>1001</v>
      </c>
      <c r="AL48" s="951"/>
      <c r="AM48" s="951" t="s">
        <v>1000</v>
      </c>
      <c r="AN48" s="951"/>
      <c r="AO48" s="951" t="s">
        <v>1001</v>
      </c>
      <c r="AP48" s="951"/>
      <c r="AQ48" s="951" t="s">
        <v>1004</v>
      </c>
      <c r="AR48" s="951" t="s">
        <v>1005</v>
      </c>
      <c r="AS48" s="951"/>
      <c r="AT48" s="951" t="s">
        <v>1066</v>
      </c>
      <c r="AU48" s="951"/>
      <c r="AV48" s="951" t="s">
        <v>1000</v>
      </c>
      <c r="AW48" s="951"/>
      <c r="AX48" s="951" t="s">
        <v>1001</v>
      </c>
      <c r="AY48" s="951"/>
      <c r="AZ48" s="951" t="s">
        <v>1004</v>
      </c>
      <c r="BA48" s="951" t="s">
        <v>1005</v>
      </c>
      <c r="BB48" s="951"/>
      <c r="BC48" s="953" t="s">
        <v>1001</v>
      </c>
      <c r="BD48" s="953"/>
      <c r="BE48" s="953" t="s">
        <v>1000</v>
      </c>
      <c r="BF48" s="953"/>
      <c r="BG48" s="951" t="s">
        <v>1001</v>
      </c>
      <c r="BH48" s="951"/>
      <c r="BI48" s="956" t="s">
        <v>1004</v>
      </c>
      <c r="BJ48" s="954" t="s">
        <v>1005</v>
      </c>
      <c r="BK48" s="954"/>
      <c r="BL48" s="951" t="s">
        <v>1006</v>
      </c>
      <c r="BM48" s="951"/>
      <c r="BN48" s="951"/>
      <c r="BO48" s="951"/>
      <c r="BP48" s="951"/>
      <c r="BQ48" s="951"/>
      <c r="BR48" s="951" t="s">
        <v>1067</v>
      </c>
      <c r="BS48" s="951"/>
      <c r="BT48" s="953" t="s">
        <v>1068</v>
      </c>
    </row>
    <row r="49" spans="1:72">
      <c r="A49" s="949"/>
      <c r="B49" s="949"/>
      <c r="C49" s="949" t="s">
        <v>391</v>
      </c>
      <c r="D49" s="949"/>
      <c r="E49" s="949"/>
      <c r="F49" s="948" t="s">
        <v>1069</v>
      </c>
      <c r="G49" s="948" t="s">
        <v>1069</v>
      </c>
      <c r="H49" s="948" t="s">
        <v>1069</v>
      </c>
      <c r="I49" s="948" t="s">
        <v>1069</v>
      </c>
      <c r="J49" s="948" t="s">
        <v>1069</v>
      </c>
      <c r="K49" s="951"/>
      <c r="L49" s="948" t="s">
        <v>1070</v>
      </c>
      <c r="M49" s="952"/>
      <c r="N49" s="949"/>
      <c r="O49" s="949"/>
      <c r="P49" s="949"/>
      <c r="Q49" s="949"/>
      <c r="R49" s="949"/>
      <c r="S49" s="949"/>
      <c r="T49" s="950" t="s">
        <v>1071</v>
      </c>
      <c r="U49" s="950" t="s">
        <v>1012</v>
      </c>
      <c r="V49" s="950" t="s">
        <v>494</v>
      </c>
      <c r="W49" s="949"/>
      <c r="X49" s="949"/>
      <c r="Y49" s="949"/>
      <c r="Z49" s="949"/>
      <c r="AA49" s="949"/>
      <c r="AB49" s="949"/>
      <c r="AC49" s="949"/>
      <c r="AD49" s="949"/>
      <c r="AE49" s="949"/>
      <c r="AF49" s="955" t="s">
        <v>1001</v>
      </c>
      <c r="AG49" s="955" t="s">
        <v>1000</v>
      </c>
      <c r="AH49" s="955" t="s">
        <v>1001</v>
      </c>
      <c r="AI49" s="955" t="s">
        <v>1012</v>
      </c>
      <c r="AJ49" s="955" t="s">
        <v>494</v>
      </c>
      <c r="AK49" s="951"/>
      <c r="AL49" s="951"/>
      <c r="AM49" s="951"/>
      <c r="AN49" s="951"/>
      <c r="AO49" s="951"/>
      <c r="AP49" s="951"/>
      <c r="AQ49" s="951"/>
      <c r="AR49" s="948" t="s">
        <v>1012</v>
      </c>
      <c r="AS49" s="948" t="s">
        <v>494</v>
      </c>
      <c r="AT49" s="951"/>
      <c r="AU49" s="951"/>
      <c r="AV49" s="951"/>
      <c r="AW49" s="951"/>
      <c r="AX49" s="951"/>
      <c r="AY49" s="951"/>
      <c r="AZ49" s="951"/>
      <c r="BA49" s="948" t="s">
        <v>1012</v>
      </c>
      <c r="BB49" s="948" t="s">
        <v>494</v>
      </c>
      <c r="BC49" s="953"/>
      <c r="BD49" s="953"/>
      <c r="BE49" s="953"/>
      <c r="BF49" s="953"/>
      <c r="BG49" s="951"/>
      <c r="BH49" s="951"/>
      <c r="BI49" s="957"/>
      <c r="BJ49" s="957" t="s">
        <v>1012</v>
      </c>
      <c r="BK49" s="957" t="s">
        <v>494</v>
      </c>
      <c r="BL49" s="951" t="s">
        <v>1001</v>
      </c>
      <c r="BM49" s="951"/>
      <c r="BN49" s="951" t="s">
        <v>1000</v>
      </c>
      <c r="BO49" s="951"/>
      <c r="BP49" s="951" t="s">
        <v>1001</v>
      </c>
      <c r="BQ49" s="951"/>
      <c r="BR49" s="951" t="s">
        <v>1004</v>
      </c>
      <c r="BS49" s="948"/>
      <c r="BT49" s="953"/>
    </row>
    <row r="50" spans="1:72">
      <c r="A50" s="949"/>
      <c r="B50" s="949"/>
      <c r="C50" s="949"/>
      <c r="D50" s="950" t="s">
        <v>1072</v>
      </c>
      <c r="E50" s="950" t="s">
        <v>1073</v>
      </c>
      <c r="F50" s="948" t="s">
        <v>1074</v>
      </c>
      <c r="G50" s="948" t="s">
        <v>1075</v>
      </c>
      <c r="H50" s="948" t="s">
        <v>1076</v>
      </c>
      <c r="I50" s="948" t="s">
        <v>1077</v>
      </c>
      <c r="J50" s="948" t="s">
        <v>1078</v>
      </c>
      <c r="K50" s="948" t="s">
        <v>1079</v>
      </c>
      <c r="L50" s="948" t="s">
        <v>1080</v>
      </c>
      <c r="M50" s="952"/>
      <c r="N50" s="949" t="s">
        <v>1081</v>
      </c>
      <c r="O50" s="949"/>
      <c r="P50" s="949"/>
      <c r="Q50" s="949"/>
      <c r="R50" s="949"/>
      <c r="S50" s="949"/>
      <c r="T50" s="950" t="s">
        <v>1082</v>
      </c>
      <c r="U50" s="949" t="s">
        <v>1081</v>
      </c>
      <c r="V50" s="949"/>
      <c r="W50" s="949" t="s">
        <v>1081</v>
      </c>
      <c r="X50" s="949"/>
      <c r="Y50" s="949"/>
      <c r="Z50" s="949" t="s">
        <v>1082</v>
      </c>
      <c r="AA50" s="949"/>
      <c r="AB50" s="949"/>
      <c r="AC50" s="949"/>
      <c r="AD50" s="949"/>
      <c r="AE50" s="949"/>
      <c r="AF50" s="953" t="s">
        <v>1082</v>
      </c>
      <c r="AG50" s="953"/>
      <c r="AH50" s="953"/>
      <c r="AI50" s="953"/>
      <c r="AJ50" s="953"/>
      <c r="AK50" s="951" t="s">
        <v>1069</v>
      </c>
      <c r="AL50" s="951"/>
      <c r="AM50" s="951"/>
      <c r="AN50" s="951"/>
      <c r="AO50" s="951"/>
      <c r="AP50" s="951"/>
      <c r="AQ50" s="951"/>
      <c r="AR50" s="951"/>
      <c r="AS50" s="951"/>
      <c r="AT50" s="951"/>
      <c r="AU50" s="951"/>
      <c r="AV50" s="951"/>
      <c r="AW50" s="951"/>
      <c r="AX50" s="951"/>
      <c r="AY50" s="951"/>
      <c r="AZ50" s="951"/>
      <c r="BA50" s="951"/>
      <c r="BB50" s="951"/>
      <c r="BC50" s="954"/>
      <c r="BD50" s="954"/>
      <c r="BE50" s="954"/>
      <c r="BF50" s="954"/>
      <c r="BG50" s="954"/>
      <c r="BH50" s="954"/>
      <c r="BI50" s="954"/>
      <c r="BJ50" s="954"/>
      <c r="BK50" s="954"/>
      <c r="BL50" s="951"/>
      <c r="BM50" s="951"/>
      <c r="BN50" s="951"/>
      <c r="BO50" s="951"/>
      <c r="BP50" s="951"/>
      <c r="BQ50" s="951"/>
      <c r="BR50" s="951"/>
      <c r="BS50" s="948" t="s">
        <v>494</v>
      </c>
      <c r="BT50" s="953"/>
    </row>
    <row r="51" spans="1:72">
      <c r="A51" s="952"/>
      <c r="B51" s="952"/>
      <c r="C51" s="950"/>
      <c r="D51" s="950"/>
      <c r="E51" s="950"/>
      <c r="F51" s="948"/>
      <c r="G51" s="948"/>
      <c r="H51" s="948"/>
      <c r="I51" s="948"/>
      <c r="J51" s="948"/>
      <c r="K51" s="948"/>
      <c r="L51" s="948"/>
      <c r="M51" s="952"/>
      <c r="N51" s="950"/>
      <c r="O51" s="950"/>
      <c r="P51" s="950"/>
      <c r="Q51" s="950"/>
      <c r="R51" s="950"/>
      <c r="S51" s="950"/>
      <c r="T51" s="950"/>
      <c r="U51" s="950"/>
      <c r="V51" s="950"/>
      <c r="W51" s="950"/>
      <c r="X51" s="950"/>
      <c r="Y51" s="950"/>
      <c r="Z51" s="950"/>
      <c r="AA51" s="950"/>
      <c r="AB51" s="950"/>
      <c r="AC51" s="950"/>
      <c r="AD51" s="950"/>
      <c r="AE51" s="950"/>
      <c r="AF51" s="955"/>
      <c r="AG51" s="955"/>
      <c r="AH51" s="955"/>
      <c r="AI51" s="955"/>
      <c r="AJ51" s="955"/>
      <c r="AK51" s="948"/>
      <c r="AL51" s="948"/>
      <c r="AM51" s="948"/>
      <c r="AN51" s="948"/>
      <c r="AO51" s="948"/>
      <c r="AP51" s="948"/>
      <c r="AQ51" s="948"/>
      <c r="AR51" s="948"/>
      <c r="AS51" s="948"/>
      <c r="AT51" s="948"/>
      <c r="AU51" s="948"/>
      <c r="AV51" s="948"/>
      <c r="AW51" s="948"/>
      <c r="AX51" s="948"/>
      <c r="AY51" s="948"/>
      <c r="AZ51" s="948"/>
      <c r="BA51" s="948"/>
      <c r="BB51" s="948"/>
      <c r="BC51" s="957"/>
      <c r="BD51" s="957"/>
      <c r="BE51" s="957"/>
      <c r="BF51" s="957"/>
      <c r="BG51" s="957"/>
      <c r="BH51" s="957"/>
      <c r="BI51" s="957"/>
      <c r="BJ51" s="957"/>
      <c r="BK51" s="957"/>
      <c r="BL51" s="948"/>
      <c r="BM51" s="948"/>
      <c r="BN51" s="948"/>
      <c r="BO51" s="948"/>
      <c r="BP51" s="948"/>
      <c r="BQ51" s="948"/>
      <c r="BR51" s="948"/>
      <c r="BS51" s="948"/>
      <c r="BT51" s="955"/>
    </row>
    <row r="52" spans="1:72">
      <c r="A52" s="958" t="s">
        <v>1130</v>
      </c>
      <c r="B52" s="952"/>
      <c r="C52" s="950"/>
      <c r="D52" s="950"/>
      <c r="E52" s="950"/>
      <c r="F52" s="948"/>
      <c r="G52" s="948"/>
      <c r="H52" s="948"/>
      <c r="I52" s="948"/>
      <c r="J52" s="948"/>
      <c r="K52" s="948"/>
      <c r="L52" s="948"/>
      <c r="M52" s="952"/>
      <c r="N52" s="959" t="str">
        <f>A52</f>
        <v>Balok Lantai 1</v>
      </c>
      <c r="O52" s="959"/>
      <c r="P52" s="950"/>
      <c r="Q52" s="950"/>
      <c r="R52" s="950"/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950"/>
      <c r="AD52" s="950"/>
      <c r="AE52" s="950"/>
      <c r="AF52" s="955"/>
      <c r="AG52" s="955"/>
      <c r="AH52" s="955"/>
      <c r="AI52" s="955"/>
      <c r="AJ52" s="955"/>
      <c r="AK52" s="948"/>
      <c r="AL52" s="948"/>
      <c r="AM52" s="948"/>
      <c r="AN52" s="948"/>
      <c r="AO52" s="948"/>
      <c r="AP52" s="948"/>
      <c r="AQ52" s="948"/>
      <c r="AR52" s="948"/>
      <c r="AS52" s="948"/>
      <c r="AT52" s="948"/>
      <c r="AU52" s="948"/>
      <c r="AV52" s="948"/>
      <c r="AW52" s="948"/>
      <c r="AX52" s="948"/>
      <c r="AY52" s="948"/>
      <c r="AZ52" s="948"/>
      <c r="BA52" s="948"/>
      <c r="BB52" s="948"/>
      <c r="BC52" s="957"/>
      <c r="BD52" s="957"/>
      <c r="BE52" s="957"/>
      <c r="BF52" s="957"/>
      <c r="BG52" s="957"/>
      <c r="BH52" s="957"/>
      <c r="BI52" s="957"/>
      <c r="BJ52" s="957"/>
      <c r="BK52" s="957"/>
      <c r="BL52" s="948"/>
      <c r="BM52" s="948"/>
      <c r="BN52" s="948"/>
      <c r="BO52" s="948"/>
      <c r="BP52" s="948"/>
      <c r="BQ52" s="948"/>
      <c r="BR52" s="948"/>
      <c r="BS52" s="948"/>
      <c r="BT52" s="955"/>
    </row>
    <row r="53" spans="1:72">
      <c r="A53" s="960" t="s">
        <v>2</v>
      </c>
      <c r="B53" s="960" t="s">
        <v>1084</v>
      </c>
      <c r="C53" s="950"/>
      <c r="D53" s="950"/>
      <c r="E53" s="950"/>
      <c r="F53" s="948"/>
      <c r="G53" s="948"/>
      <c r="H53" s="948"/>
      <c r="I53" s="948"/>
      <c r="J53" s="948"/>
      <c r="K53" s="948"/>
      <c r="L53" s="948"/>
      <c r="M53" s="952"/>
      <c r="N53" s="959" t="str">
        <f>A53</f>
        <v>A</v>
      </c>
      <c r="O53" s="959" t="str">
        <f>B53</f>
        <v>Vertikal</v>
      </c>
      <c r="P53" s="950"/>
      <c r="Q53" s="950"/>
      <c r="R53" s="950"/>
      <c r="S53" s="950"/>
      <c r="T53" s="950"/>
      <c r="U53" s="950"/>
      <c r="V53" s="950"/>
      <c r="W53" s="950"/>
      <c r="X53" s="950"/>
      <c r="Y53" s="950"/>
      <c r="Z53" s="950"/>
      <c r="AA53" s="950"/>
      <c r="AB53" s="950"/>
      <c r="AC53" s="950"/>
      <c r="AD53" s="950"/>
      <c r="AE53" s="950"/>
      <c r="AF53" s="955"/>
      <c r="AG53" s="955"/>
      <c r="AH53" s="955"/>
      <c r="AI53" s="955"/>
      <c r="AJ53" s="955"/>
      <c r="AK53" s="948"/>
      <c r="AL53" s="948"/>
      <c r="AM53" s="948"/>
      <c r="AN53" s="948"/>
      <c r="AO53" s="948"/>
      <c r="AP53" s="948"/>
      <c r="AQ53" s="948"/>
      <c r="AR53" s="948"/>
      <c r="AS53" s="948"/>
      <c r="AT53" s="948"/>
      <c r="AU53" s="948"/>
      <c r="AV53" s="948"/>
      <c r="AW53" s="948"/>
      <c r="AX53" s="948"/>
      <c r="AY53" s="948"/>
      <c r="AZ53" s="948"/>
      <c r="BA53" s="948"/>
      <c r="BB53" s="948"/>
      <c r="BC53" s="957"/>
      <c r="BD53" s="957"/>
      <c r="BE53" s="957"/>
      <c r="BF53" s="957"/>
      <c r="BG53" s="957"/>
      <c r="BH53" s="957"/>
      <c r="BI53" s="957"/>
      <c r="BJ53" s="957"/>
      <c r="BK53" s="957"/>
      <c r="BL53" s="948"/>
      <c r="BM53" s="948"/>
      <c r="BN53" s="948"/>
      <c r="BO53" s="948"/>
      <c r="BP53" s="948"/>
      <c r="BQ53" s="948"/>
      <c r="BR53" s="948"/>
      <c r="BS53" s="948"/>
      <c r="BT53" s="955"/>
    </row>
    <row r="54" spans="1:72">
      <c r="A54" s="952">
        <v>1</v>
      </c>
      <c r="B54" s="952" t="s">
        <v>1085</v>
      </c>
      <c r="C54" s="950" t="s">
        <v>1086</v>
      </c>
      <c r="D54" s="950">
        <v>1</v>
      </c>
      <c r="E54" s="950">
        <v>1</v>
      </c>
      <c r="F54" s="948">
        <v>384</v>
      </c>
      <c r="G54" s="948">
        <v>0.3</v>
      </c>
      <c r="H54" s="948">
        <v>0.7</v>
      </c>
      <c r="I54" s="948">
        <v>0.12</v>
      </c>
      <c r="J54" s="948">
        <f t="shared" ref="J54:J63" si="67">H54-I54</f>
        <v>0.57999999999999996</v>
      </c>
      <c r="K54" s="948">
        <f t="shared" ref="K54:K62" si="68">F54*G54*J54*D54*E54</f>
        <v>66.815999999999988</v>
      </c>
      <c r="L54" s="948">
        <f t="shared" ref="L54:L59" si="69">(2*J54)*F54*E54*D54</f>
        <v>445.43999999999994</v>
      </c>
      <c r="M54" s="952"/>
      <c r="N54" s="950">
        <v>19</v>
      </c>
      <c r="O54" s="950">
        <v>19</v>
      </c>
      <c r="P54" s="950">
        <v>19</v>
      </c>
      <c r="Q54" s="950">
        <v>19</v>
      </c>
      <c r="R54" s="950">
        <v>19</v>
      </c>
      <c r="S54" s="950">
        <v>19</v>
      </c>
      <c r="T54" s="950">
        <v>8</v>
      </c>
      <c r="U54" s="950"/>
      <c r="V54" s="950"/>
      <c r="W54" s="950">
        <v>200</v>
      </c>
      <c r="X54" s="950">
        <v>100</v>
      </c>
      <c r="Y54" s="950">
        <v>100</v>
      </c>
      <c r="Z54" s="950">
        <v>9</v>
      </c>
      <c r="AA54" s="950">
        <v>6</v>
      </c>
      <c r="AB54" s="950">
        <v>6</v>
      </c>
      <c r="AC54" s="950">
        <v>6</v>
      </c>
      <c r="AD54" s="950">
        <v>9</v>
      </c>
      <c r="AE54" s="950">
        <v>6</v>
      </c>
      <c r="AF54" s="955">
        <f t="shared" ref="AF54:AF60" si="70">(F54/4)/(W54/1000)+1</f>
        <v>481</v>
      </c>
      <c r="AG54" s="955">
        <f t="shared" ref="AG54:AG63" si="71">(F54/2)/(X54/1000)+1</f>
        <v>1921</v>
      </c>
      <c r="AH54" s="955">
        <f>(F54/4)/(Y54/1000)+1</f>
        <v>961</v>
      </c>
      <c r="AI54" s="955"/>
      <c r="AJ54" s="955"/>
      <c r="AK54" s="948">
        <f t="shared" ref="AK54:AK63" si="72">(F54/4)+(20*N54/1000)+(10*N54/1000)+(8*N54/1000)+(6*2*N54/1000)</f>
        <v>96.949999999999989</v>
      </c>
      <c r="AL54" s="948">
        <f t="shared" ref="AL54:AL63" si="73">(F54/4)+(20*O54/1000)+(10*O54/1000)+(8*O54/1000)+(6*2*O54/1000)</f>
        <v>96.949999999999989</v>
      </c>
      <c r="AM54" s="948">
        <f t="shared" ref="AM54:AM63" si="74">(F54/2)+(20*P54/1000)+(6*2*P54/1000)</f>
        <v>192.608</v>
      </c>
      <c r="AN54" s="948">
        <f t="shared" ref="AN54:AN63" si="75">(F54/2)+(20*Q54/1000)+(6*2*Q54/1000)</f>
        <v>192.608</v>
      </c>
      <c r="AO54" s="948">
        <f t="shared" ref="AO54:AO63" si="76">(F54/4)+(20*R54/1000)+(10*R54/1000)+(8*R54/1000)+(6*2*R54/1000)</f>
        <v>96.949999999999989</v>
      </c>
      <c r="AP54" s="948">
        <f t="shared" ref="AP54:AP63" si="77">(F54/4)+(20*S54/1000)+(10*S54/1000)+(8*S54/1000)+(6*2*S54/1000)</f>
        <v>96.949999999999989</v>
      </c>
      <c r="AQ54" s="948">
        <f t="shared" ref="AQ54:AQ63" si="78">(2*G54)+(2*H54)+(6*T54/1000)-(8*0.03)</f>
        <v>1.8080000000000001</v>
      </c>
      <c r="AR54" s="948"/>
      <c r="AS54" s="948"/>
      <c r="AT54" s="948">
        <f>AK54*Z54*E54*D54</f>
        <v>872.55</v>
      </c>
      <c r="AU54" s="948">
        <f t="shared" ref="AU54:AU63" si="79">AL54*AA54*E54*D54</f>
        <v>581.69999999999993</v>
      </c>
      <c r="AV54" s="948">
        <f t="shared" ref="AV54:AV63" si="80">AM54*AB54*E54*D54</f>
        <v>1155.6480000000001</v>
      </c>
      <c r="AW54" s="948">
        <f t="shared" ref="AW54:AW63" si="81">AN54*AC54*E54*D54</f>
        <v>1155.6480000000001</v>
      </c>
      <c r="AX54" s="948">
        <f t="shared" ref="AX54:AX63" si="82">AO54*AD54*E54*D54</f>
        <v>872.55</v>
      </c>
      <c r="AY54" s="948">
        <f t="shared" ref="AY54:AY63" si="83">AP54*AE54*E54*D54</f>
        <v>581.69999999999993</v>
      </c>
      <c r="AZ54" s="948">
        <f t="shared" ref="AZ54:AZ63" si="84">AQ54*(AF54+AG54+AH54)*E54*D54</f>
        <v>6080.3040000000001</v>
      </c>
      <c r="BA54" s="948"/>
      <c r="BB54" s="948"/>
      <c r="BC54" s="957">
        <f t="shared" ref="BC54:BJ63" si="85">N54*N54*0.074/12</f>
        <v>2.2261666666666664</v>
      </c>
      <c r="BD54" s="957">
        <f t="shared" si="85"/>
        <v>2.2261666666666664</v>
      </c>
      <c r="BE54" s="957">
        <f t="shared" si="85"/>
        <v>2.2261666666666664</v>
      </c>
      <c r="BF54" s="957">
        <f t="shared" si="85"/>
        <v>2.2261666666666664</v>
      </c>
      <c r="BG54" s="957">
        <f t="shared" si="85"/>
        <v>2.2261666666666664</v>
      </c>
      <c r="BH54" s="957">
        <f t="shared" si="85"/>
        <v>2.2261666666666664</v>
      </c>
      <c r="BI54" s="957">
        <f t="shared" si="85"/>
        <v>0.39466666666666667</v>
      </c>
      <c r="BJ54" s="957">
        <f>U54*U54*0.074/12</f>
        <v>0</v>
      </c>
      <c r="BK54" s="957">
        <f t="shared" ref="BK54:BK63" si="86">V54*V54*0.074/12</f>
        <v>0</v>
      </c>
      <c r="BL54" s="948">
        <f>AT54*BC54</f>
        <v>1942.4417249999997</v>
      </c>
      <c r="BM54" s="948">
        <f t="shared" ref="BM54:BR63" si="87">AU54*BD54</f>
        <v>1294.9611499999996</v>
      </c>
      <c r="BN54" s="948">
        <f t="shared" si="87"/>
        <v>2572.6650559999998</v>
      </c>
      <c r="BO54" s="948">
        <f t="shared" si="87"/>
        <v>2572.6650559999998</v>
      </c>
      <c r="BP54" s="948">
        <f t="shared" si="87"/>
        <v>1942.4417249999997</v>
      </c>
      <c r="BQ54" s="948">
        <f t="shared" si="87"/>
        <v>1294.9611499999996</v>
      </c>
      <c r="BR54" s="948">
        <f t="shared" si="87"/>
        <v>2399.6933119999999</v>
      </c>
      <c r="BS54" s="948">
        <f t="shared" ref="BS54:BS62" si="88">BB54*BK54</f>
        <v>0</v>
      </c>
      <c r="BT54" s="955">
        <f t="shared" ref="BT54:BT63" si="89">SUM(BL54:BS54)/K54</f>
        <v>209.82742417983718</v>
      </c>
    </row>
    <row r="55" spans="1:72">
      <c r="A55" s="952">
        <v>2</v>
      </c>
      <c r="B55" s="952" t="s">
        <v>1131</v>
      </c>
      <c r="C55" s="950" t="s">
        <v>1086</v>
      </c>
      <c r="D55" s="950">
        <v>1</v>
      </c>
      <c r="E55" s="950">
        <v>1</v>
      </c>
      <c r="F55" s="948">
        <v>64</v>
      </c>
      <c r="G55" s="948">
        <v>0.3</v>
      </c>
      <c r="H55" s="948">
        <v>0.7</v>
      </c>
      <c r="I55" s="948">
        <v>0.12</v>
      </c>
      <c r="J55" s="948">
        <f t="shared" si="67"/>
        <v>0.57999999999999996</v>
      </c>
      <c r="K55" s="948">
        <f t="shared" si="68"/>
        <v>11.135999999999999</v>
      </c>
      <c r="L55" s="948">
        <f t="shared" si="69"/>
        <v>74.239999999999995</v>
      </c>
      <c r="M55" s="952"/>
      <c r="N55" s="950">
        <v>19</v>
      </c>
      <c r="O55" s="950">
        <v>19</v>
      </c>
      <c r="P55" s="950">
        <v>19</v>
      </c>
      <c r="Q55" s="950">
        <v>19</v>
      </c>
      <c r="R55" s="950">
        <v>19</v>
      </c>
      <c r="S55" s="950">
        <v>19</v>
      </c>
      <c r="T55" s="950">
        <v>8</v>
      </c>
      <c r="U55" s="950"/>
      <c r="V55" s="950"/>
      <c r="W55" s="950">
        <v>200</v>
      </c>
      <c r="X55" s="950">
        <v>100</v>
      </c>
      <c r="Y55" s="950">
        <v>100</v>
      </c>
      <c r="Z55" s="950">
        <v>9</v>
      </c>
      <c r="AA55" s="950">
        <v>6</v>
      </c>
      <c r="AB55" s="950">
        <v>4</v>
      </c>
      <c r="AC55" s="950">
        <v>4</v>
      </c>
      <c r="AD55" s="950">
        <v>9</v>
      </c>
      <c r="AE55" s="950">
        <v>6</v>
      </c>
      <c r="AF55" s="955">
        <f t="shared" si="70"/>
        <v>81</v>
      </c>
      <c r="AG55" s="955">
        <f t="shared" si="71"/>
        <v>321</v>
      </c>
      <c r="AH55" s="955">
        <f t="shared" ref="AH55:AH63" si="90">(F55/4)/(Y55/1000)+1</f>
        <v>161</v>
      </c>
      <c r="AI55" s="955"/>
      <c r="AJ55" s="955"/>
      <c r="AK55" s="948">
        <f t="shared" si="72"/>
        <v>16.950000000000003</v>
      </c>
      <c r="AL55" s="948">
        <f t="shared" si="73"/>
        <v>16.950000000000003</v>
      </c>
      <c r="AM55" s="948">
        <f t="shared" si="74"/>
        <v>32.608000000000004</v>
      </c>
      <c r="AN55" s="948">
        <f t="shared" si="75"/>
        <v>32.608000000000004</v>
      </c>
      <c r="AO55" s="948">
        <f t="shared" si="76"/>
        <v>16.950000000000003</v>
      </c>
      <c r="AP55" s="948">
        <f t="shared" si="77"/>
        <v>16.950000000000003</v>
      </c>
      <c r="AQ55" s="948">
        <f t="shared" si="78"/>
        <v>1.8080000000000001</v>
      </c>
      <c r="AR55" s="948"/>
      <c r="AS55" s="948"/>
      <c r="AT55" s="948">
        <f t="shared" ref="AT55" si="91">AK55*Z55*E55*D55</f>
        <v>152.55000000000001</v>
      </c>
      <c r="AU55" s="948">
        <f t="shared" si="79"/>
        <v>101.70000000000002</v>
      </c>
      <c r="AV55" s="948">
        <f t="shared" si="80"/>
        <v>130.43200000000002</v>
      </c>
      <c r="AW55" s="948">
        <f t="shared" si="81"/>
        <v>130.43200000000002</v>
      </c>
      <c r="AX55" s="948">
        <f t="shared" si="82"/>
        <v>152.55000000000001</v>
      </c>
      <c r="AY55" s="948">
        <f t="shared" si="83"/>
        <v>101.70000000000002</v>
      </c>
      <c r="AZ55" s="948">
        <f t="shared" si="84"/>
        <v>1017.904</v>
      </c>
      <c r="BA55" s="948"/>
      <c r="BB55" s="948"/>
      <c r="BC55" s="957">
        <f t="shared" si="85"/>
        <v>2.2261666666666664</v>
      </c>
      <c r="BD55" s="957">
        <f t="shared" si="85"/>
        <v>2.2261666666666664</v>
      </c>
      <c r="BE55" s="957">
        <f t="shared" si="85"/>
        <v>2.2261666666666664</v>
      </c>
      <c r="BF55" s="957">
        <f t="shared" si="85"/>
        <v>2.2261666666666664</v>
      </c>
      <c r="BG55" s="957">
        <f t="shared" si="85"/>
        <v>2.2261666666666664</v>
      </c>
      <c r="BH55" s="957">
        <f t="shared" si="85"/>
        <v>2.2261666666666664</v>
      </c>
      <c r="BI55" s="957">
        <f t="shared" si="85"/>
        <v>0.39466666666666667</v>
      </c>
      <c r="BJ55" s="957">
        <f t="shared" si="85"/>
        <v>0</v>
      </c>
      <c r="BK55" s="957">
        <f t="shared" si="86"/>
        <v>0</v>
      </c>
      <c r="BL55" s="948">
        <f t="shared" ref="BL55:BL63" si="92">AT55*BC55</f>
        <v>339.60172499999999</v>
      </c>
      <c r="BM55" s="948">
        <f t="shared" si="87"/>
        <v>226.40115</v>
      </c>
      <c r="BN55" s="948">
        <f t="shared" si="87"/>
        <v>290.3633706666667</v>
      </c>
      <c r="BO55" s="948">
        <f t="shared" si="87"/>
        <v>290.3633706666667</v>
      </c>
      <c r="BP55" s="948">
        <f t="shared" si="87"/>
        <v>339.60172499999999</v>
      </c>
      <c r="BQ55" s="948">
        <f t="shared" si="87"/>
        <v>226.40115</v>
      </c>
      <c r="BR55" s="948">
        <f t="shared" si="87"/>
        <v>401.73277866666666</v>
      </c>
      <c r="BS55" s="948">
        <f t="shared" si="88"/>
        <v>0</v>
      </c>
      <c r="BT55" s="955">
        <f t="shared" si="89"/>
        <v>189.87655082614944</v>
      </c>
    </row>
    <row r="56" spans="1:72">
      <c r="A56" s="952">
        <v>3</v>
      </c>
      <c r="B56" s="952" t="s">
        <v>1088</v>
      </c>
      <c r="C56" s="950" t="s">
        <v>1089</v>
      </c>
      <c r="D56" s="950">
        <v>1</v>
      </c>
      <c r="E56" s="950">
        <v>1</v>
      </c>
      <c r="F56" s="948">
        <v>44.8</v>
      </c>
      <c r="G56" s="948">
        <v>0.3</v>
      </c>
      <c r="H56" s="948">
        <v>0.7</v>
      </c>
      <c r="I56" s="948">
        <v>0.12</v>
      </c>
      <c r="J56" s="948">
        <f t="shared" si="67"/>
        <v>0.57999999999999996</v>
      </c>
      <c r="K56" s="948">
        <f t="shared" si="68"/>
        <v>7.7951999999999995</v>
      </c>
      <c r="L56" s="948">
        <f t="shared" si="69"/>
        <v>51.967999999999996</v>
      </c>
      <c r="M56" s="952"/>
      <c r="N56" s="950">
        <v>19</v>
      </c>
      <c r="O56" s="950">
        <v>19</v>
      </c>
      <c r="P56" s="950">
        <v>19</v>
      </c>
      <c r="Q56" s="950">
        <v>19</v>
      </c>
      <c r="R56" s="950">
        <v>19</v>
      </c>
      <c r="S56" s="950">
        <v>19</v>
      </c>
      <c r="T56" s="950">
        <v>8</v>
      </c>
      <c r="U56" s="950"/>
      <c r="V56" s="950"/>
      <c r="W56" s="950">
        <v>200</v>
      </c>
      <c r="X56" s="950">
        <v>100</v>
      </c>
      <c r="Y56" s="950">
        <v>100</v>
      </c>
      <c r="Z56" s="950">
        <v>9</v>
      </c>
      <c r="AA56" s="950">
        <v>6</v>
      </c>
      <c r="AB56" s="950">
        <v>4</v>
      </c>
      <c r="AC56" s="950">
        <v>4</v>
      </c>
      <c r="AD56" s="950">
        <v>9</v>
      </c>
      <c r="AE56" s="950">
        <v>6</v>
      </c>
      <c r="AF56" s="955">
        <f t="shared" si="70"/>
        <v>56.999999999999993</v>
      </c>
      <c r="AG56" s="955">
        <f t="shared" si="71"/>
        <v>224.99999999999997</v>
      </c>
      <c r="AH56" s="955">
        <f t="shared" si="90"/>
        <v>112.99999999999999</v>
      </c>
      <c r="AI56" s="955"/>
      <c r="AJ56" s="955"/>
      <c r="AK56" s="948">
        <f t="shared" si="72"/>
        <v>12.149999999999999</v>
      </c>
      <c r="AL56" s="948">
        <f t="shared" si="73"/>
        <v>12.149999999999999</v>
      </c>
      <c r="AM56" s="948">
        <f t="shared" si="74"/>
        <v>23.007999999999999</v>
      </c>
      <c r="AN56" s="948">
        <f t="shared" si="75"/>
        <v>23.007999999999999</v>
      </c>
      <c r="AO56" s="948">
        <f t="shared" si="76"/>
        <v>12.149999999999999</v>
      </c>
      <c r="AP56" s="948">
        <f t="shared" si="77"/>
        <v>12.149999999999999</v>
      </c>
      <c r="AQ56" s="948">
        <f t="shared" si="78"/>
        <v>1.8080000000000001</v>
      </c>
      <c r="AR56" s="948"/>
      <c r="AS56" s="948"/>
      <c r="AT56" s="948">
        <f>AK56*Z56*E56*D56</f>
        <v>109.35</v>
      </c>
      <c r="AU56" s="948">
        <f t="shared" si="79"/>
        <v>72.899999999999991</v>
      </c>
      <c r="AV56" s="948">
        <f t="shared" si="80"/>
        <v>92.031999999999996</v>
      </c>
      <c r="AW56" s="948">
        <f t="shared" si="81"/>
        <v>92.031999999999996</v>
      </c>
      <c r="AX56" s="948">
        <f t="shared" si="82"/>
        <v>109.35</v>
      </c>
      <c r="AY56" s="948">
        <f t="shared" si="83"/>
        <v>72.899999999999991</v>
      </c>
      <c r="AZ56" s="948">
        <f t="shared" si="84"/>
        <v>714.16</v>
      </c>
      <c r="BA56" s="948"/>
      <c r="BB56" s="948"/>
      <c r="BC56" s="957">
        <f t="shared" si="85"/>
        <v>2.2261666666666664</v>
      </c>
      <c r="BD56" s="957">
        <f t="shared" si="85"/>
        <v>2.2261666666666664</v>
      </c>
      <c r="BE56" s="957">
        <f t="shared" si="85"/>
        <v>2.2261666666666664</v>
      </c>
      <c r="BF56" s="957">
        <f t="shared" si="85"/>
        <v>2.2261666666666664</v>
      </c>
      <c r="BG56" s="957">
        <f t="shared" si="85"/>
        <v>2.2261666666666664</v>
      </c>
      <c r="BH56" s="957">
        <f t="shared" si="85"/>
        <v>2.2261666666666664</v>
      </c>
      <c r="BI56" s="957">
        <f t="shared" si="85"/>
        <v>0.39466666666666667</v>
      </c>
      <c r="BJ56" s="957">
        <f t="shared" si="85"/>
        <v>0</v>
      </c>
      <c r="BK56" s="957">
        <f t="shared" si="86"/>
        <v>0</v>
      </c>
      <c r="BL56" s="948">
        <f t="shared" si="92"/>
        <v>243.43132499999996</v>
      </c>
      <c r="BM56" s="948">
        <f t="shared" si="87"/>
        <v>162.28754999999995</v>
      </c>
      <c r="BN56" s="948">
        <f t="shared" si="87"/>
        <v>204.87857066666663</v>
      </c>
      <c r="BO56" s="948">
        <f t="shared" si="87"/>
        <v>204.87857066666663</v>
      </c>
      <c r="BP56" s="948">
        <f t="shared" si="87"/>
        <v>243.43132499999996</v>
      </c>
      <c r="BQ56" s="948">
        <f t="shared" si="87"/>
        <v>162.28754999999995</v>
      </c>
      <c r="BR56" s="948">
        <f t="shared" si="87"/>
        <v>281.85514666666666</v>
      </c>
      <c r="BS56" s="948">
        <f t="shared" si="88"/>
        <v>0</v>
      </c>
      <c r="BT56" s="955">
        <f t="shared" si="89"/>
        <v>192.81737966954023</v>
      </c>
    </row>
    <row r="57" spans="1:72">
      <c r="A57" s="952">
        <v>4</v>
      </c>
      <c r="B57" s="952" t="s">
        <v>1090</v>
      </c>
      <c r="C57" s="950" t="s">
        <v>1091</v>
      </c>
      <c r="D57" s="950">
        <v>1</v>
      </c>
      <c r="E57" s="950">
        <v>1</v>
      </c>
      <c r="F57" s="948">
        <v>64.8</v>
      </c>
      <c r="G57" s="948">
        <v>0.3</v>
      </c>
      <c r="H57" s="948">
        <v>0.7</v>
      </c>
      <c r="I57" s="948">
        <v>0.12</v>
      </c>
      <c r="J57" s="948">
        <f t="shared" si="67"/>
        <v>0.57999999999999996</v>
      </c>
      <c r="K57" s="948">
        <f t="shared" si="68"/>
        <v>11.275199999999998</v>
      </c>
      <c r="L57" s="948">
        <f t="shared" si="69"/>
        <v>75.167999999999992</v>
      </c>
      <c r="M57" s="952"/>
      <c r="N57" s="950">
        <v>19</v>
      </c>
      <c r="O57" s="950">
        <v>19</v>
      </c>
      <c r="P57" s="950">
        <v>19</v>
      </c>
      <c r="Q57" s="950">
        <v>19</v>
      </c>
      <c r="R57" s="950">
        <v>19</v>
      </c>
      <c r="S57" s="950">
        <v>19</v>
      </c>
      <c r="T57" s="950">
        <v>8</v>
      </c>
      <c r="U57" s="950"/>
      <c r="V57" s="950"/>
      <c r="W57" s="950">
        <v>200</v>
      </c>
      <c r="X57" s="950">
        <v>100</v>
      </c>
      <c r="Y57" s="950">
        <v>100</v>
      </c>
      <c r="Z57" s="950">
        <v>9</v>
      </c>
      <c r="AA57" s="950">
        <v>6</v>
      </c>
      <c r="AB57" s="950">
        <v>4</v>
      </c>
      <c r="AC57" s="950">
        <v>4</v>
      </c>
      <c r="AD57" s="950">
        <v>9</v>
      </c>
      <c r="AE57" s="950">
        <v>6</v>
      </c>
      <c r="AF57" s="955">
        <f t="shared" si="70"/>
        <v>81.999999999999986</v>
      </c>
      <c r="AG57" s="955">
        <f t="shared" si="71"/>
        <v>324.99999999999994</v>
      </c>
      <c r="AH57" s="955">
        <f t="shared" si="90"/>
        <v>162.99999999999997</v>
      </c>
      <c r="AI57" s="955"/>
      <c r="AJ57" s="955"/>
      <c r="AK57" s="948">
        <f t="shared" si="72"/>
        <v>17.150000000000002</v>
      </c>
      <c r="AL57" s="948">
        <f t="shared" si="73"/>
        <v>17.150000000000002</v>
      </c>
      <c r="AM57" s="948">
        <f t="shared" si="74"/>
        <v>33.008000000000003</v>
      </c>
      <c r="AN57" s="948">
        <f t="shared" si="75"/>
        <v>33.008000000000003</v>
      </c>
      <c r="AO57" s="948">
        <f t="shared" si="76"/>
        <v>17.150000000000002</v>
      </c>
      <c r="AP57" s="948">
        <f t="shared" si="77"/>
        <v>17.150000000000002</v>
      </c>
      <c r="AQ57" s="948">
        <f t="shared" si="78"/>
        <v>1.8080000000000001</v>
      </c>
      <c r="AR57" s="948"/>
      <c r="AS57" s="948"/>
      <c r="AT57" s="948">
        <f t="shared" ref="AT57:AT63" si="93">AK57*Z57*E57*D57</f>
        <v>154.35000000000002</v>
      </c>
      <c r="AU57" s="948">
        <f t="shared" si="79"/>
        <v>102.9</v>
      </c>
      <c r="AV57" s="948">
        <f t="shared" si="80"/>
        <v>132.03200000000001</v>
      </c>
      <c r="AW57" s="948">
        <f t="shared" si="81"/>
        <v>132.03200000000001</v>
      </c>
      <c r="AX57" s="948">
        <f t="shared" si="82"/>
        <v>154.35000000000002</v>
      </c>
      <c r="AY57" s="948">
        <f t="shared" si="83"/>
        <v>102.9</v>
      </c>
      <c r="AZ57" s="948">
        <f t="shared" si="84"/>
        <v>1030.5599999999997</v>
      </c>
      <c r="BA57" s="948"/>
      <c r="BB57" s="948"/>
      <c r="BC57" s="957">
        <f t="shared" si="85"/>
        <v>2.2261666666666664</v>
      </c>
      <c r="BD57" s="957">
        <f t="shared" si="85"/>
        <v>2.2261666666666664</v>
      </c>
      <c r="BE57" s="957">
        <f t="shared" si="85"/>
        <v>2.2261666666666664</v>
      </c>
      <c r="BF57" s="957">
        <f t="shared" si="85"/>
        <v>2.2261666666666664</v>
      </c>
      <c r="BG57" s="957">
        <f t="shared" si="85"/>
        <v>2.2261666666666664</v>
      </c>
      <c r="BH57" s="957">
        <f t="shared" si="85"/>
        <v>2.2261666666666664</v>
      </c>
      <c r="BI57" s="957">
        <f t="shared" si="85"/>
        <v>0.39466666666666667</v>
      </c>
      <c r="BJ57" s="957">
        <f t="shared" si="85"/>
        <v>0</v>
      </c>
      <c r="BK57" s="957">
        <f t="shared" si="86"/>
        <v>0</v>
      </c>
      <c r="BL57" s="948">
        <f t="shared" si="92"/>
        <v>343.60882500000002</v>
      </c>
      <c r="BM57" s="948">
        <f t="shared" si="87"/>
        <v>229.07254999999998</v>
      </c>
      <c r="BN57" s="948">
        <f t="shared" si="87"/>
        <v>293.92523733333331</v>
      </c>
      <c r="BO57" s="948">
        <f t="shared" si="87"/>
        <v>293.92523733333331</v>
      </c>
      <c r="BP57" s="948">
        <f t="shared" si="87"/>
        <v>343.60882500000002</v>
      </c>
      <c r="BQ57" s="948">
        <f t="shared" si="87"/>
        <v>229.07254999999998</v>
      </c>
      <c r="BR57" s="948">
        <f t="shared" si="87"/>
        <v>406.72767999999991</v>
      </c>
      <c r="BS57" s="948">
        <f t="shared" si="88"/>
        <v>0</v>
      </c>
      <c r="BT57" s="955">
        <f t="shared" si="89"/>
        <v>189.7918355919777</v>
      </c>
    </row>
    <row r="58" spans="1:72">
      <c r="A58" s="952">
        <v>5</v>
      </c>
      <c r="B58" s="952" t="s">
        <v>1092</v>
      </c>
      <c r="C58" s="950" t="s">
        <v>1093</v>
      </c>
      <c r="D58" s="950">
        <v>1</v>
      </c>
      <c r="E58" s="950">
        <v>1</v>
      </c>
      <c r="F58" s="948">
        <v>80</v>
      </c>
      <c r="G58" s="948">
        <v>0.25</v>
      </c>
      <c r="H58" s="948">
        <v>0.6</v>
      </c>
      <c r="I58" s="948">
        <v>0.12</v>
      </c>
      <c r="J58" s="948">
        <f t="shared" si="67"/>
        <v>0.48</v>
      </c>
      <c r="K58" s="948">
        <f t="shared" si="68"/>
        <v>9.6</v>
      </c>
      <c r="L58" s="948">
        <f t="shared" si="69"/>
        <v>76.8</v>
      </c>
      <c r="M58" s="952"/>
      <c r="N58" s="950">
        <v>16</v>
      </c>
      <c r="O58" s="950">
        <v>16</v>
      </c>
      <c r="P58" s="950">
        <v>16</v>
      </c>
      <c r="Q58" s="950">
        <v>16</v>
      </c>
      <c r="R58" s="950">
        <v>16</v>
      </c>
      <c r="S58" s="950">
        <v>16</v>
      </c>
      <c r="T58" s="950">
        <v>8</v>
      </c>
      <c r="U58" s="950"/>
      <c r="V58" s="950"/>
      <c r="W58" s="950">
        <v>200</v>
      </c>
      <c r="X58" s="950">
        <v>100</v>
      </c>
      <c r="Y58" s="950">
        <v>100</v>
      </c>
      <c r="Z58" s="950">
        <v>9</v>
      </c>
      <c r="AA58" s="950">
        <v>6</v>
      </c>
      <c r="AB58" s="950">
        <v>4</v>
      </c>
      <c r="AC58" s="950">
        <v>4</v>
      </c>
      <c r="AD58" s="950">
        <v>9</v>
      </c>
      <c r="AE58" s="950">
        <v>6</v>
      </c>
      <c r="AF58" s="955">
        <f t="shared" si="70"/>
        <v>101</v>
      </c>
      <c r="AG58" s="955">
        <f t="shared" si="71"/>
        <v>401</v>
      </c>
      <c r="AH58" s="955">
        <f t="shared" si="90"/>
        <v>201</v>
      </c>
      <c r="AI58" s="955"/>
      <c r="AJ58" s="955"/>
      <c r="AK58" s="948">
        <f t="shared" si="72"/>
        <v>20.8</v>
      </c>
      <c r="AL58" s="948">
        <f t="shared" si="73"/>
        <v>20.8</v>
      </c>
      <c r="AM58" s="948">
        <f t="shared" si="74"/>
        <v>40.512</v>
      </c>
      <c r="AN58" s="948">
        <f t="shared" si="75"/>
        <v>40.512</v>
      </c>
      <c r="AO58" s="948">
        <f t="shared" si="76"/>
        <v>20.8</v>
      </c>
      <c r="AP58" s="948">
        <f t="shared" si="77"/>
        <v>20.8</v>
      </c>
      <c r="AQ58" s="948">
        <f t="shared" si="78"/>
        <v>1.508</v>
      </c>
      <c r="AR58" s="948"/>
      <c r="AS58" s="948"/>
      <c r="AT58" s="948">
        <f t="shared" si="93"/>
        <v>187.20000000000002</v>
      </c>
      <c r="AU58" s="948">
        <f t="shared" si="79"/>
        <v>124.80000000000001</v>
      </c>
      <c r="AV58" s="948">
        <f t="shared" si="80"/>
        <v>162.048</v>
      </c>
      <c r="AW58" s="948">
        <f t="shared" si="81"/>
        <v>162.048</v>
      </c>
      <c r="AX58" s="948">
        <f t="shared" si="82"/>
        <v>187.20000000000002</v>
      </c>
      <c r="AY58" s="948">
        <f t="shared" si="83"/>
        <v>124.80000000000001</v>
      </c>
      <c r="AZ58" s="948">
        <f t="shared" si="84"/>
        <v>1060.124</v>
      </c>
      <c r="BA58" s="948"/>
      <c r="BB58" s="948"/>
      <c r="BC58" s="957">
        <f t="shared" si="85"/>
        <v>1.5786666666666667</v>
      </c>
      <c r="BD58" s="957">
        <f t="shared" si="85"/>
        <v>1.5786666666666667</v>
      </c>
      <c r="BE58" s="957">
        <f t="shared" si="85"/>
        <v>1.5786666666666667</v>
      </c>
      <c r="BF58" s="957">
        <f t="shared" si="85"/>
        <v>1.5786666666666667</v>
      </c>
      <c r="BG58" s="957">
        <f t="shared" si="85"/>
        <v>1.5786666666666667</v>
      </c>
      <c r="BH58" s="957">
        <f t="shared" si="85"/>
        <v>1.5786666666666667</v>
      </c>
      <c r="BI58" s="957">
        <f t="shared" si="85"/>
        <v>0.39466666666666667</v>
      </c>
      <c r="BJ58" s="957">
        <f t="shared" si="85"/>
        <v>0</v>
      </c>
      <c r="BK58" s="957">
        <f t="shared" si="86"/>
        <v>0</v>
      </c>
      <c r="BL58" s="948">
        <f t="shared" si="92"/>
        <v>295.52640000000002</v>
      </c>
      <c r="BM58" s="948">
        <f t="shared" si="87"/>
        <v>197.01760000000002</v>
      </c>
      <c r="BN58" s="948">
        <f t="shared" si="87"/>
        <v>255.81977599999999</v>
      </c>
      <c r="BO58" s="948">
        <f t="shared" si="87"/>
        <v>255.81977599999999</v>
      </c>
      <c r="BP58" s="948">
        <f t="shared" si="87"/>
        <v>295.52640000000002</v>
      </c>
      <c r="BQ58" s="948">
        <f t="shared" si="87"/>
        <v>197.01760000000002</v>
      </c>
      <c r="BR58" s="948">
        <f t="shared" si="87"/>
        <v>418.39560533333332</v>
      </c>
      <c r="BS58" s="948">
        <f t="shared" si="88"/>
        <v>0</v>
      </c>
      <c r="BT58" s="955">
        <f t="shared" si="89"/>
        <v>199.49199555555555</v>
      </c>
    </row>
    <row r="59" spans="1:72">
      <c r="A59" s="952">
        <v>6</v>
      </c>
      <c r="B59" s="952" t="s">
        <v>1094</v>
      </c>
      <c r="C59" s="950" t="s">
        <v>1095</v>
      </c>
      <c r="D59" s="950">
        <v>1</v>
      </c>
      <c r="E59" s="950">
        <v>1</v>
      </c>
      <c r="F59" s="948">
        <v>80</v>
      </c>
      <c r="G59" s="948">
        <v>0.3</v>
      </c>
      <c r="H59" s="948">
        <v>0.7</v>
      </c>
      <c r="I59" s="948">
        <v>0.12</v>
      </c>
      <c r="J59" s="948">
        <f t="shared" si="67"/>
        <v>0.57999999999999996</v>
      </c>
      <c r="K59" s="948">
        <f t="shared" si="68"/>
        <v>13.919999999999998</v>
      </c>
      <c r="L59" s="948">
        <f t="shared" si="69"/>
        <v>92.8</v>
      </c>
      <c r="M59" s="952"/>
      <c r="N59" s="950">
        <v>25</v>
      </c>
      <c r="O59" s="950">
        <v>25</v>
      </c>
      <c r="P59" s="950">
        <v>25</v>
      </c>
      <c r="Q59" s="950">
        <v>25</v>
      </c>
      <c r="R59" s="950">
        <v>25</v>
      </c>
      <c r="S59" s="950">
        <v>25</v>
      </c>
      <c r="T59" s="950">
        <v>8</v>
      </c>
      <c r="U59" s="950"/>
      <c r="V59" s="950"/>
      <c r="W59" s="950">
        <v>200</v>
      </c>
      <c r="X59" s="950">
        <v>100</v>
      </c>
      <c r="Y59" s="950">
        <v>100</v>
      </c>
      <c r="Z59" s="950">
        <v>9</v>
      </c>
      <c r="AA59" s="950">
        <v>6</v>
      </c>
      <c r="AB59" s="950">
        <v>4</v>
      </c>
      <c r="AC59" s="950">
        <v>4</v>
      </c>
      <c r="AD59" s="950">
        <v>9</v>
      </c>
      <c r="AE59" s="950">
        <v>6</v>
      </c>
      <c r="AF59" s="955">
        <f t="shared" si="70"/>
        <v>101</v>
      </c>
      <c r="AG59" s="955">
        <f t="shared" si="71"/>
        <v>401</v>
      </c>
      <c r="AH59" s="955">
        <f t="shared" si="90"/>
        <v>201</v>
      </c>
      <c r="AI59" s="955"/>
      <c r="AJ59" s="955"/>
      <c r="AK59" s="948">
        <f t="shared" si="72"/>
        <v>21.25</v>
      </c>
      <c r="AL59" s="948">
        <f t="shared" si="73"/>
        <v>21.25</v>
      </c>
      <c r="AM59" s="948">
        <f t="shared" si="74"/>
        <v>40.799999999999997</v>
      </c>
      <c r="AN59" s="948">
        <f t="shared" si="75"/>
        <v>40.799999999999997</v>
      </c>
      <c r="AO59" s="948">
        <f t="shared" si="76"/>
        <v>21.25</v>
      </c>
      <c r="AP59" s="948">
        <f t="shared" si="77"/>
        <v>21.25</v>
      </c>
      <c r="AQ59" s="948">
        <f t="shared" si="78"/>
        <v>1.8080000000000001</v>
      </c>
      <c r="AR59" s="948"/>
      <c r="AS59" s="948"/>
      <c r="AT59" s="948">
        <f t="shared" si="93"/>
        <v>191.25</v>
      </c>
      <c r="AU59" s="948">
        <f t="shared" si="79"/>
        <v>127.5</v>
      </c>
      <c r="AV59" s="948">
        <f t="shared" si="80"/>
        <v>163.19999999999999</v>
      </c>
      <c r="AW59" s="948">
        <f t="shared" si="81"/>
        <v>163.19999999999999</v>
      </c>
      <c r="AX59" s="948">
        <f t="shared" si="82"/>
        <v>191.25</v>
      </c>
      <c r="AY59" s="948">
        <f t="shared" si="83"/>
        <v>127.5</v>
      </c>
      <c r="AZ59" s="948">
        <f t="shared" si="84"/>
        <v>1271.0240000000001</v>
      </c>
      <c r="BA59" s="948"/>
      <c r="BB59" s="948"/>
      <c r="BC59" s="957">
        <f t="shared" si="85"/>
        <v>3.8541666666666665</v>
      </c>
      <c r="BD59" s="957">
        <f t="shared" si="85"/>
        <v>3.8541666666666665</v>
      </c>
      <c r="BE59" s="957">
        <f t="shared" si="85"/>
        <v>3.8541666666666665</v>
      </c>
      <c r="BF59" s="957">
        <f t="shared" si="85"/>
        <v>3.8541666666666665</v>
      </c>
      <c r="BG59" s="957">
        <f t="shared" si="85"/>
        <v>3.8541666666666665</v>
      </c>
      <c r="BH59" s="957">
        <f t="shared" si="85"/>
        <v>3.8541666666666665</v>
      </c>
      <c r="BI59" s="957">
        <f t="shared" si="85"/>
        <v>0.39466666666666667</v>
      </c>
      <c r="BJ59" s="957">
        <f t="shared" si="85"/>
        <v>0</v>
      </c>
      <c r="BK59" s="957">
        <f t="shared" si="86"/>
        <v>0</v>
      </c>
      <c r="BL59" s="948">
        <f t="shared" si="92"/>
        <v>737.109375</v>
      </c>
      <c r="BM59" s="948">
        <f t="shared" si="87"/>
        <v>491.40625</v>
      </c>
      <c r="BN59" s="948">
        <f t="shared" si="87"/>
        <v>628.99999999999989</v>
      </c>
      <c r="BO59" s="948">
        <f t="shared" si="87"/>
        <v>628.99999999999989</v>
      </c>
      <c r="BP59" s="948">
        <f t="shared" si="87"/>
        <v>737.109375</v>
      </c>
      <c r="BQ59" s="948">
        <f t="shared" si="87"/>
        <v>491.40625</v>
      </c>
      <c r="BR59" s="948">
        <f t="shared" si="87"/>
        <v>501.6308053333334</v>
      </c>
      <c r="BS59" s="948">
        <f t="shared" si="88"/>
        <v>0</v>
      </c>
      <c r="BT59" s="955">
        <f t="shared" si="89"/>
        <v>302.92112466475101</v>
      </c>
    </row>
    <row r="60" spans="1:72">
      <c r="A60" s="952">
        <v>7</v>
      </c>
      <c r="B60" s="952" t="s">
        <v>1096</v>
      </c>
      <c r="C60" s="950" t="s">
        <v>1097</v>
      </c>
      <c r="D60" s="950">
        <v>1</v>
      </c>
      <c r="E60" s="950">
        <v>1</v>
      </c>
      <c r="F60" s="948">
        <v>64</v>
      </c>
      <c r="G60" s="948">
        <f>G59</f>
        <v>0.3</v>
      </c>
      <c r="H60" s="948">
        <f>H59</f>
        <v>0.7</v>
      </c>
      <c r="I60" s="948">
        <v>0.12</v>
      </c>
      <c r="J60" s="948">
        <f t="shared" si="67"/>
        <v>0.57999999999999996</v>
      </c>
      <c r="K60" s="948">
        <f t="shared" si="68"/>
        <v>11.135999999999999</v>
      </c>
      <c r="L60" s="948">
        <f>(2*J60)*F60*E60*D39</f>
        <v>74.239999999999995</v>
      </c>
      <c r="M60" s="952"/>
      <c r="N60" s="950">
        <v>19</v>
      </c>
      <c r="O60" s="950">
        <v>19</v>
      </c>
      <c r="P60" s="950">
        <v>19</v>
      </c>
      <c r="Q60" s="950">
        <v>19</v>
      </c>
      <c r="R60" s="950">
        <v>19</v>
      </c>
      <c r="S60" s="950">
        <v>19</v>
      </c>
      <c r="T60" s="950">
        <v>8</v>
      </c>
      <c r="U60" s="950"/>
      <c r="V60" s="950"/>
      <c r="W60" s="950">
        <v>200</v>
      </c>
      <c r="X60" s="950">
        <v>100</v>
      </c>
      <c r="Y60" s="950">
        <v>100</v>
      </c>
      <c r="Z60" s="950">
        <v>9</v>
      </c>
      <c r="AA60" s="950">
        <v>6</v>
      </c>
      <c r="AB60" s="950">
        <v>4</v>
      </c>
      <c r="AC60" s="950">
        <v>4</v>
      </c>
      <c r="AD60" s="950">
        <v>9</v>
      </c>
      <c r="AE60" s="950">
        <v>6</v>
      </c>
      <c r="AF60" s="955">
        <f t="shared" si="70"/>
        <v>81</v>
      </c>
      <c r="AG60" s="955">
        <f t="shared" si="71"/>
        <v>321</v>
      </c>
      <c r="AH60" s="955">
        <f t="shared" si="90"/>
        <v>161</v>
      </c>
      <c r="AI60" s="955"/>
      <c r="AJ60" s="955"/>
      <c r="AK60" s="948">
        <f t="shared" si="72"/>
        <v>16.950000000000003</v>
      </c>
      <c r="AL60" s="948">
        <f t="shared" si="73"/>
        <v>16.950000000000003</v>
      </c>
      <c r="AM60" s="948">
        <f t="shared" si="74"/>
        <v>32.608000000000004</v>
      </c>
      <c r="AN60" s="948">
        <f t="shared" si="75"/>
        <v>32.608000000000004</v>
      </c>
      <c r="AO60" s="948">
        <f t="shared" si="76"/>
        <v>16.950000000000003</v>
      </c>
      <c r="AP60" s="948">
        <f t="shared" si="77"/>
        <v>16.950000000000003</v>
      </c>
      <c r="AQ60" s="948">
        <f t="shared" si="78"/>
        <v>1.8080000000000001</v>
      </c>
      <c r="AR60" s="948"/>
      <c r="AS60" s="948"/>
      <c r="AT60" s="948">
        <f t="shared" si="93"/>
        <v>152.55000000000001</v>
      </c>
      <c r="AU60" s="948">
        <f t="shared" si="79"/>
        <v>101.70000000000002</v>
      </c>
      <c r="AV60" s="948">
        <f t="shared" si="80"/>
        <v>130.43200000000002</v>
      </c>
      <c r="AW60" s="948">
        <f t="shared" si="81"/>
        <v>130.43200000000002</v>
      </c>
      <c r="AX60" s="948">
        <f t="shared" si="82"/>
        <v>152.55000000000001</v>
      </c>
      <c r="AY60" s="948">
        <f t="shared" si="83"/>
        <v>101.70000000000002</v>
      </c>
      <c r="AZ60" s="948">
        <f t="shared" si="84"/>
        <v>1017.904</v>
      </c>
      <c r="BA60" s="948"/>
      <c r="BB60" s="948"/>
      <c r="BC60" s="957">
        <f t="shared" si="85"/>
        <v>2.2261666666666664</v>
      </c>
      <c r="BD60" s="957">
        <f t="shared" si="85"/>
        <v>2.2261666666666664</v>
      </c>
      <c r="BE60" s="957">
        <f t="shared" si="85"/>
        <v>2.2261666666666664</v>
      </c>
      <c r="BF60" s="957">
        <f t="shared" si="85"/>
        <v>2.2261666666666664</v>
      </c>
      <c r="BG60" s="957">
        <f t="shared" si="85"/>
        <v>2.2261666666666664</v>
      </c>
      <c r="BH60" s="957">
        <f t="shared" si="85"/>
        <v>2.2261666666666664</v>
      </c>
      <c r="BI60" s="957">
        <f t="shared" si="85"/>
        <v>0.39466666666666667</v>
      </c>
      <c r="BJ60" s="957">
        <f t="shared" si="85"/>
        <v>0</v>
      </c>
      <c r="BK60" s="957">
        <f t="shared" si="86"/>
        <v>0</v>
      </c>
      <c r="BL60" s="948">
        <f t="shared" si="92"/>
        <v>339.60172499999999</v>
      </c>
      <c r="BM60" s="948">
        <f t="shared" si="87"/>
        <v>226.40115</v>
      </c>
      <c r="BN60" s="948">
        <f t="shared" si="87"/>
        <v>290.3633706666667</v>
      </c>
      <c r="BO60" s="948">
        <f t="shared" si="87"/>
        <v>290.3633706666667</v>
      </c>
      <c r="BP60" s="948">
        <f t="shared" si="87"/>
        <v>339.60172499999999</v>
      </c>
      <c r="BQ60" s="948">
        <f>AY60*BH60</f>
        <v>226.40115</v>
      </c>
      <c r="BR60" s="948">
        <f t="shared" si="87"/>
        <v>401.73277866666666</v>
      </c>
      <c r="BS60" s="948">
        <f t="shared" si="88"/>
        <v>0</v>
      </c>
      <c r="BT60" s="955">
        <f t="shared" si="89"/>
        <v>189.87655082614944</v>
      </c>
    </row>
    <row r="61" spans="1:72">
      <c r="A61" s="952">
        <v>8</v>
      </c>
      <c r="B61" s="952" t="s">
        <v>1098</v>
      </c>
      <c r="C61" s="950" t="s">
        <v>1099</v>
      </c>
      <c r="D61" s="950">
        <v>1</v>
      </c>
      <c r="E61" s="950">
        <v>1</v>
      </c>
      <c r="F61" s="948">
        <v>56</v>
      </c>
      <c r="G61" s="948">
        <v>0.25</v>
      </c>
      <c r="H61" s="948">
        <v>0.6</v>
      </c>
      <c r="I61" s="948">
        <v>0.12</v>
      </c>
      <c r="J61" s="948">
        <f t="shared" si="67"/>
        <v>0.48</v>
      </c>
      <c r="K61" s="948">
        <f t="shared" si="68"/>
        <v>6.72</v>
      </c>
      <c r="L61" s="948">
        <f>(2*J61)*F61*E61*D61</f>
        <v>53.76</v>
      </c>
      <c r="M61" s="952"/>
      <c r="N61" s="950">
        <v>16</v>
      </c>
      <c r="O61" s="950">
        <v>16</v>
      </c>
      <c r="P61" s="950">
        <v>16</v>
      </c>
      <c r="Q61" s="950">
        <v>16</v>
      </c>
      <c r="R61" s="950">
        <v>16</v>
      </c>
      <c r="S61" s="950">
        <v>16</v>
      </c>
      <c r="T61" s="950">
        <v>8</v>
      </c>
      <c r="U61" s="950"/>
      <c r="V61" s="950"/>
      <c r="W61" s="950">
        <v>200</v>
      </c>
      <c r="X61" s="950">
        <v>100</v>
      </c>
      <c r="Y61" s="950">
        <v>100</v>
      </c>
      <c r="Z61" s="950">
        <v>9</v>
      </c>
      <c r="AA61" s="950">
        <v>6</v>
      </c>
      <c r="AB61" s="950">
        <v>4</v>
      </c>
      <c r="AC61" s="950">
        <v>4</v>
      </c>
      <c r="AD61" s="950">
        <v>9</v>
      </c>
      <c r="AE61" s="950">
        <v>6</v>
      </c>
      <c r="AF61" s="955">
        <f>(F61/4)/(W61/1000)+1</f>
        <v>71</v>
      </c>
      <c r="AG61" s="955">
        <f t="shared" si="71"/>
        <v>281</v>
      </c>
      <c r="AH61" s="955">
        <f t="shared" si="90"/>
        <v>141</v>
      </c>
      <c r="AI61" s="955"/>
      <c r="AJ61" s="955"/>
      <c r="AK61" s="948">
        <f t="shared" si="72"/>
        <v>14.8</v>
      </c>
      <c r="AL61" s="948">
        <f t="shared" si="73"/>
        <v>14.8</v>
      </c>
      <c r="AM61" s="948">
        <f t="shared" si="74"/>
        <v>28.512</v>
      </c>
      <c r="AN61" s="948">
        <f t="shared" si="75"/>
        <v>28.512</v>
      </c>
      <c r="AO61" s="948">
        <f t="shared" si="76"/>
        <v>14.8</v>
      </c>
      <c r="AP61" s="948">
        <f t="shared" si="77"/>
        <v>14.8</v>
      </c>
      <c r="AQ61" s="948">
        <f t="shared" si="78"/>
        <v>1.508</v>
      </c>
      <c r="AR61" s="948"/>
      <c r="AS61" s="948"/>
      <c r="AT61" s="948">
        <f t="shared" si="93"/>
        <v>133.20000000000002</v>
      </c>
      <c r="AU61" s="948">
        <f t="shared" si="79"/>
        <v>88.800000000000011</v>
      </c>
      <c r="AV61" s="948">
        <f t="shared" si="80"/>
        <v>114.048</v>
      </c>
      <c r="AW61" s="948">
        <f t="shared" si="81"/>
        <v>114.048</v>
      </c>
      <c r="AX61" s="948">
        <f t="shared" si="82"/>
        <v>133.20000000000002</v>
      </c>
      <c r="AY61" s="948">
        <f t="shared" si="83"/>
        <v>88.800000000000011</v>
      </c>
      <c r="AZ61" s="948">
        <f t="shared" si="84"/>
        <v>743.44399999999996</v>
      </c>
      <c r="BA61" s="948"/>
      <c r="BB61" s="948"/>
      <c r="BC61" s="957">
        <f t="shared" si="85"/>
        <v>1.5786666666666667</v>
      </c>
      <c r="BD61" s="957">
        <f t="shared" si="85"/>
        <v>1.5786666666666667</v>
      </c>
      <c r="BE61" s="957">
        <f t="shared" si="85"/>
        <v>1.5786666666666667</v>
      </c>
      <c r="BF61" s="957">
        <f t="shared" si="85"/>
        <v>1.5786666666666667</v>
      </c>
      <c r="BG61" s="957">
        <f t="shared" si="85"/>
        <v>1.5786666666666667</v>
      </c>
      <c r="BH61" s="957">
        <f t="shared" si="85"/>
        <v>1.5786666666666667</v>
      </c>
      <c r="BI61" s="957">
        <f t="shared" si="85"/>
        <v>0.39466666666666667</v>
      </c>
      <c r="BJ61" s="957">
        <f t="shared" si="85"/>
        <v>0</v>
      </c>
      <c r="BK61" s="957">
        <f t="shared" si="86"/>
        <v>0</v>
      </c>
      <c r="BL61" s="948">
        <f t="shared" si="92"/>
        <v>210.27840000000003</v>
      </c>
      <c r="BM61" s="948">
        <f t="shared" si="87"/>
        <v>140.18560000000002</v>
      </c>
      <c r="BN61" s="948">
        <f t="shared" si="87"/>
        <v>180.04377600000001</v>
      </c>
      <c r="BO61" s="948">
        <f t="shared" si="87"/>
        <v>180.04377600000001</v>
      </c>
      <c r="BP61" s="948">
        <f t="shared" si="87"/>
        <v>210.27840000000003</v>
      </c>
      <c r="BQ61" s="948">
        <f t="shared" si="87"/>
        <v>140.18560000000002</v>
      </c>
      <c r="BR61" s="948">
        <f t="shared" si="87"/>
        <v>293.4125653333333</v>
      </c>
      <c r="BS61" s="948">
        <f t="shared" si="88"/>
        <v>0</v>
      </c>
      <c r="BT61" s="955">
        <f t="shared" si="89"/>
        <v>201.55180317460318</v>
      </c>
    </row>
    <row r="62" spans="1:72">
      <c r="A62" s="952">
        <v>9</v>
      </c>
      <c r="B62" s="952" t="s">
        <v>1100</v>
      </c>
      <c r="C62" s="950" t="s">
        <v>1101</v>
      </c>
      <c r="D62" s="950">
        <v>1</v>
      </c>
      <c r="E62" s="950">
        <v>1</v>
      </c>
      <c r="F62" s="948">
        <v>28</v>
      </c>
      <c r="G62" s="948">
        <f>G61</f>
        <v>0.25</v>
      </c>
      <c r="H62" s="948">
        <v>0.6</v>
      </c>
      <c r="I62" s="948">
        <v>0.12</v>
      </c>
      <c r="J62" s="948">
        <f t="shared" si="67"/>
        <v>0.48</v>
      </c>
      <c r="K62" s="948">
        <f t="shared" si="68"/>
        <v>3.36</v>
      </c>
      <c r="L62" s="948">
        <f>(2*J62)*F62*E62*D62</f>
        <v>26.88</v>
      </c>
      <c r="M62" s="952"/>
      <c r="N62" s="950">
        <v>16</v>
      </c>
      <c r="O62" s="950">
        <v>16</v>
      </c>
      <c r="P62" s="950">
        <v>16</v>
      </c>
      <c r="Q62" s="950">
        <v>16</v>
      </c>
      <c r="R62" s="950">
        <v>16</v>
      </c>
      <c r="S62" s="950">
        <v>16</v>
      </c>
      <c r="T62" s="950">
        <v>8</v>
      </c>
      <c r="U62" s="950"/>
      <c r="V62" s="950"/>
      <c r="W62" s="950">
        <v>200</v>
      </c>
      <c r="X62" s="950">
        <v>100</v>
      </c>
      <c r="Y62" s="950">
        <v>100</v>
      </c>
      <c r="Z62" s="950">
        <v>9</v>
      </c>
      <c r="AA62" s="950">
        <v>6</v>
      </c>
      <c r="AB62" s="950">
        <v>4</v>
      </c>
      <c r="AC62" s="950">
        <v>4</v>
      </c>
      <c r="AD62" s="950">
        <v>9</v>
      </c>
      <c r="AE62" s="950">
        <v>6</v>
      </c>
      <c r="AF62" s="955">
        <f>(F62/4)/(W62/1000)+1</f>
        <v>36</v>
      </c>
      <c r="AG62" s="955">
        <f t="shared" si="71"/>
        <v>141</v>
      </c>
      <c r="AH62" s="955">
        <f t="shared" si="90"/>
        <v>71</v>
      </c>
      <c r="AI62" s="955"/>
      <c r="AJ62" s="955"/>
      <c r="AK62" s="948">
        <f t="shared" si="72"/>
        <v>7.8000000000000007</v>
      </c>
      <c r="AL62" s="948">
        <f t="shared" si="73"/>
        <v>7.8000000000000007</v>
      </c>
      <c r="AM62" s="948">
        <f t="shared" si="74"/>
        <v>14.512</v>
      </c>
      <c r="AN62" s="948">
        <f t="shared" si="75"/>
        <v>14.512</v>
      </c>
      <c r="AO62" s="948">
        <f t="shared" si="76"/>
        <v>7.8000000000000007</v>
      </c>
      <c r="AP62" s="948">
        <f t="shared" si="77"/>
        <v>7.8000000000000007</v>
      </c>
      <c r="AQ62" s="948">
        <f t="shared" si="78"/>
        <v>1.508</v>
      </c>
      <c r="AR62" s="948"/>
      <c r="AS62" s="948"/>
      <c r="AT62" s="948">
        <f t="shared" si="93"/>
        <v>70.2</v>
      </c>
      <c r="AU62" s="948">
        <f t="shared" si="79"/>
        <v>46.800000000000004</v>
      </c>
      <c r="AV62" s="948">
        <f t="shared" si="80"/>
        <v>58.048000000000002</v>
      </c>
      <c r="AW62" s="948">
        <f t="shared" si="81"/>
        <v>58.048000000000002</v>
      </c>
      <c r="AX62" s="948">
        <f t="shared" si="82"/>
        <v>70.2</v>
      </c>
      <c r="AY62" s="948">
        <f t="shared" si="83"/>
        <v>46.800000000000004</v>
      </c>
      <c r="AZ62" s="948">
        <f t="shared" si="84"/>
        <v>373.98399999999998</v>
      </c>
      <c r="BA62" s="948"/>
      <c r="BB62" s="948"/>
      <c r="BC62" s="957">
        <f t="shared" si="85"/>
        <v>1.5786666666666667</v>
      </c>
      <c r="BD62" s="957">
        <f t="shared" si="85"/>
        <v>1.5786666666666667</v>
      </c>
      <c r="BE62" s="957">
        <f t="shared" si="85"/>
        <v>1.5786666666666667</v>
      </c>
      <c r="BF62" s="957">
        <f t="shared" si="85"/>
        <v>1.5786666666666667</v>
      </c>
      <c r="BG62" s="957">
        <f t="shared" si="85"/>
        <v>1.5786666666666667</v>
      </c>
      <c r="BH62" s="957">
        <f t="shared" si="85"/>
        <v>1.5786666666666667</v>
      </c>
      <c r="BI62" s="957">
        <f t="shared" si="85"/>
        <v>0.39466666666666667</v>
      </c>
      <c r="BJ62" s="957">
        <f t="shared" si="85"/>
        <v>0</v>
      </c>
      <c r="BK62" s="957">
        <f t="shared" si="86"/>
        <v>0</v>
      </c>
      <c r="BL62" s="948">
        <f t="shared" si="92"/>
        <v>110.8224</v>
      </c>
      <c r="BM62" s="948">
        <f t="shared" si="87"/>
        <v>73.881600000000006</v>
      </c>
      <c r="BN62" s="948">
        <f t="shared" si="87"/>
        <v>91.638442666666663</v>
      </c>
      <c r="BO62" s="948">
        <f t="shared" si="87"/>
        <v>91.638442666666663</v>
      </c>
      <c r="BP62" s="948">
        <f t="shared" si="87"/>
        <v>110.8224</v>
      </c>
      <c r="BQ62" s="948">
        <f t="shared" si="87"/>
        <v>73.881600000000006</v>
      </c>
      <c r="BR62" s="948">
        <f t="shared" si="87"/>
        <v>147.59901866666667</v>
      </c>
      <c r="BS62" s="948">
        <f t="shared" si="88"/>
        <v>0</v>
      </c>
      <c r="BT62" s="955">
        <f t="shared" si="89"/>
        <v>208.41782857142857</v>
      </c>
    </row>
    <row r="63" spans="1:72">
      <c r="A63" s="952">
        <v>10</v>
      </c>
      <c r="B63" s="952" t="s">
        <v>1102</v>
      </c>
      <c r="C63" s="950" t="s">
        <v>1103</v>
      </c>
      <c r="D63" s="950">
        <v>1</v>
      </c>
      <c r="E63" s="950">
        <v>1</v>
      </c>
      <c r="F63" s="948">
        <v>10</v>
      </c>
      <c r="G63" s="948">
        <v>0.25</v>
      </c>
      <c r="H63" s="948">
        <v>0.6</v>
      </c>
      <c r="I63" s="948">
        <v>0.12</v>
      </c>
      <c r="J63" s="948">
        <f t="shared" si="67"/>
        <v>0.48</v>
      </c>
      <c r="K63" s="948">
        <f>F63*G63*J63*D63*E63</f>
        <v>1.2</v>
      </c>
      <c r="L63" s="948">
        <f>(2*J63)*D63*E63*F63</f>
        <v>9.6</v>
      </c>
      <c r="M63" s="952"/>
      <c r="N63" s="950">
        <v>16</v>
      </c>
      <c r="O63" s="950">
        <v>16</v>
      </c>
      <c r="P63" s="950">
        <v>16</v>
      </c>
      <c r="Q63" s="950">
        <v>16</v>
      </c>
      <c r="R63" s="950">
        <v>16</v>
      </c>
      <c r="S63" s="950">
        <v>16</v>
      </c>
      <c r="T63" s="950">
        <v>8</v>
      </c>
      <c r="U63" s="950"/>
      <c r="V63" s="950"/>
      <c r="W63" s="950">
        <v>200</v>
      </c>
      <c r="X63" s="950">
        <v>100</v>
      </c>
      <c r="Y63" s="950">
        <v>100</v>
      </c>
      <c r="Z63" s="950">
        <v>9</v>
      </c>
      <c r="AA63" s="950">
        <v>6</v>
      </c>
      <c r="AB63" s="950">
        <v>4</v>
      </c>
      <c r="AC63" s="950">
        <v>4</v>
      </c>
      <c r="AD63" s="950">
        <v>9</v>
      </c>
      <c r="AE63" s="950">
        <v>6</v>
      </c>
      <c r="AF63" s="955">
        <f>(F63/4)/(W63/1000)+1</f>
        <v>13.5</v>
      </c>
      <c r="AG63" s="955">
        <f t="shared" si="71"/>
        <v>51</v>
      </c>
      <c r="AH63" s="955">
        <f t="shared" si="90"/>
        <v>26</v>
      </c>
      <c r="AI63" s="955"/>
      <c r="AJ63" s="955"/>
      <c r="AK63" s="948">
        <f t="shared" si="72"/>
        <v>3.3000000000000003</v>
      </c>
      <c r="AL63" s="948">
        <f t="shared" si="73"/>
        <v>3.3000000000000003</v>
      </c>
      <c r="AM63" s="948">
        <f t="shared" si="74"/>
        <v>5.5120000000000005</v>
      </c>
      <c r="AN63" s="948">
        <f t="shared" si="75"/>
        <v>5.5120000000000005</v>
      </c>
      <c r="AO63" s="948">
        <f t="shared" si="76"/>
        <v>3.3000000000000003</v>
      </c>
      <c r="AP63" s="948">
        <f t="shared" si="77"/>
        <v>3.3000000000000003</v>
      </c>
      <c r="AQ63" s="948">
        <f t="shared" si="78"/>
        <v>1.508</v>
      </c>
      <c r="AR63" s="948"/>
      <c r="AS63" s="948"/>
      <c r="AT63" s="948">
        <f t="shared" si="93"/>
        <v>29.700000000000003</v>
      </c>
      <c r="AU63" s="948">
        <f t="shared" si="79"/>
        <v>19.8</v>
      </c>
      <c r="AV63" s="948">
        <f t="shared" si="80"/>
        <v>22.048000000000002</v>
      </c>
      <c r="AW63" s="948">
        <f t="shared" si="81"/>
        <v>22.048000000000002</v>
      </c>
      <c r="AX63" s="948">
        <f t="shared" si="82"/>
        <v>29.700000000000003</v>
      </c>
      <c r="AY63" s="948">
        <f t="shared" si="83"/>
        <v>19.8</v>
      </c>
      <c r="AZ63" s="948">
        <f t="shared" si="84"/>
        <v>136.47399999999999</v>
      </c>
      <c r="BA63" s="948"/>
      <c r="BB63" s="948"/>
      <c r="BC63" s="957">
        <f t="shared" si="85"/>
        <v>1.5786666666666667</v>
      </c>
      <c r="BD63" s="957">
        <f t="shared" si="85"/>
        <v>1.5786666666666667</v>
      </c>
      <c r="BE63" s="957">
        <f t="shared" si="85"/>
        <v>1.5786666666666667</v>
      </c>
      <c r="BF63" s="957">
        <f t="shared" si="85"/>
        <v>1.5786666666666667</v>
      </c>
      <c r="BG63" s="957">
        <f t="shared" si="85"/>
        <v>1.5786666666666667</v>
      </c>
      <c r="BH63" s="957">
        <f t="shared" si="85"/>
        <v>1.5786666666666667</v>
      </c>
      <c r="BI63" s="957">
        <f t="shared" si="85"/>
        <v>0.39466666666666667</v>
      </c>
      <c r="BJ63" s="957">
        <f t="shared" si="85"/>
        <v>0</v>
      </c>
      <c r="BK63" s="957">
        <f t="shared" si="86"/>
        <v>0</v>
      </c>
      <c r="BL63" s="948">
        <f t="shared" si="92"/>
        <v>46.886400000000002</v>
      </c>
      <c r="BM63" s="948">
        <f t="shared" si="87"/>
        <v>31.2576</v>
      </c>
      <c r="BN63" s="948">
        <f t="shared" si="87"/>
        <v>34.806442666666669</v>
      </c>
      <c r="BO63" s="948">
        <f t="shared" si="87"/>
        <v>34.806442666666669</v>
      </c>
      <c r="BP63" s="948">
        <f t="shared" si="87"/>
        <v>46.886400000000002</v>
      </c>
      <c r="BQ63" s="948">
        <f t="shared" si="87"/>
        <v>31.2576</v>
      </c>
      <c r="BR63" s="948">
        <f t="shared" si="87"/>
        <v>53.86173866666666</v>
      </c>
      <c r="BS63" s="948"/>
      <c r="BT63" s="955">
        <f t="shared" si="89"/>
        <v>233.13552000000001</v>
      </c>
    </row>
    <row r="64" spans="1:72">
      <c r="A64" s="952"/>
      <c r="B64" s="952"/>
      <c r="C64" s="950"/>
      <c r="D64" s="950"/>
      <c r="E64" s="950"/>
      <c r="F64" s="948"/>
      <c r="G64" s="948"/>
      <c r="H64" s="948"/>
      <c r="I64" s="948"/>
      <c r="J64" s="948"/>
      <c r="K64" s="948"/>
      <c r="L64" s="948"/>
      <c r="M64" s="952"/>
      <c r="N64" s="950"/>
      <c r="O64" s="950"/>
      <c r="P64" s="950"/>
      <c r="Q64" s="950"/>
      <c r="R64" s="950"/>
      <c r="S64" s="950"/>
      <c r="T64" s="950"/>
      <c r="U64" s="950"/>
      <c r="V64" s="950"/>
      <c r="W64" s="950"/>
      <c r="X64" s="950"/>
      <c r="Y64" s="950"/>
      <c r="Z64" s="950"/>
      <c r="AA64" s="950"/>
      <c r="AB64" s="950"/>
      <c r="AC64" s="950"/>
      <c r="AD64" s="950"/>
      <c r="AE64" s="950"/>
      <c r="AF64" s="955"/>
      <c r="AG64" s="955"/>
      <c r="AH64" s="955"/>
      <c r="AI64" s="955"/>
      <c r="AJ64" s="955"/>
      <c r="AK64" s="948"/>
      <c r="AL64" s="948"/>
      <c r="AM64" s="948"/>
      <c r="AN64" s="948"/>
      <c r="AO64" s="948"/>
      <c r="AP64" s="948"/>
      <c r="AQ64" s="948"/>
      <c r="AR64" s="948"/>
      <c r="AS64" s="948"/>
      <c r="AT64" s="948"/>
      <c r="AU64" s="948"/>
      <c r="AV64" s="948"/>
      <c r="AW64" s="948"/>
      <c r="AX64" s="948"/>
      <c r="AY64" s="948"/>
      <c r="AZ64" s="948"/>
      <c r="BA64" s="948"/>
      <c r="BB64" s="948"/>
      <c r="BC64" s="957"/>
      <c r="BD64" s="957"/>
      <c r="BE64" s="957"/>
      <c r="BF64" s="957"/>
      <c r="BG64" s="957"/>
      <c r="BH64" s="957"/>
      <c r="BI64" s="957"/>
      <c r="BJ64" s="957"/>
      <c r="BK64" s="957"/>
      <c r="BL64" s="948"/>
      <c r="BM64" s="948"/>
      <c r="BN64" s="948"/>
      <c r="BO64" s="948"/>
      <c r="BP64" s="948"/>
      <c r="BQ64" s="948"/>
      <c r="BR64" s="948"/>
      <c r="BS64" s="948"/>
      <c r="BT64" s="955"/>
    </row>
    <row r="65" spans="1:72">
      <c r="A65" s="952"/>
      <c r="B65" s="952"/>
      <c r="C65" s="950"/>
      <c r="D65" s="950"/>
      <c r="E65" s="950"/>
      <c r="F65" s="948"/>
      <c r="G65" s="948"/>
      <c r="H65" s="948"/>
      <c r="I65" s="948"/>
      <c r="J65" s="948"/>
      <c r="K65" s="948"/>
      <c r="L65" s="948"/>
      <c r="M65" s="952"/>
      <c r="N65" s="950"/>
      <c r="O65" s="950"/>
      <c r="P65" s="950"/>
      <c r="Q65" s="950"/>
      <c r="R65" s="950"/>
      <c r="S65" s="950"/>
      <c r="T65" s="950"/>
      <c r="U65" s="950"/>
      <c r="V65" s="950"/>
      <c r="W65" s="950"/>
      <c r="X65" s="950"/>
      <c r="Y65" s="950"/>
      <c r="Z65" s="950"/>
      <c r="AA65" s="950"/>
      <c r="AB65" s="950"/>
      <c r="AC65" s="950"/>
      <c r="AD65" s="950"/>
      <c r="AE65" s="950"/>
      <c r="AF65" s="955"/>
      <c r="AG65" s="955"/>
      <c r="AH65" s="955"/>
      <c r="AI65" s="955"/>
      <c r="AJ65" s="955"/>
      <c r="AK65" s="948"/>
      <c r="AL65" s="948"/>
      <c r="AM65" s="948"/>
      <c r="AN65" s="948"/>
      <c r="AO65" s="948"/>
      <c r="AP65" s="948"/>
      <c r="AQ65" s="948"/>
      <c r="AR65" s="948"/>
      <c r="AS65" s="948"/>
      <c r="AT65" s="948"/>
      <c r="AU65" s="948"/>
      <c r="AV65" s="948"/>
      <c r="AW65" s="948"/>
      <c r="AX65" s="948"/>
      <c r="AY65" s="948"/>
      <c r="AZ65" s="948"/>
      <c r="BA65" s="948"/>
      <c r="BB65" s="948"/>
      <c r="BC65" s="957"/>
      <c r="BD65" s="957"/>
      <c r="BE65" s="957"/>
      <c r="BF65" s="957"/>
      <c r="BG65" s="957"/>
      <c r="BH65" s="957"/>
      <c r="BI65" s="957"/>
      <c r="BJ65" s="957"/>
      <c r="BK65" s="957"/>
      <c r="BL65" s="948"/>
      <c r="BM65" s="948"/>
      <c r="BN65" s="948"/>
      <c r="BO65" s="948"/>
      <c r="BP65" s="948"/>
      <c r="BQ65" s="948"/>
      <c r="BR65" s="948"/>
      <c r="BS65" s="948"/>
      <c r="BT65" s="955"/>
    </row>
    <row r="66" spans="1:72">
      <c r="A66" s="960" t="s">
        <v>8</v>
      </c>
      <c r="B66" s="960" t="s">
        <v>1104</v>
      </c>
      <c r="C66" s="950"/>
      <c r="D66" s="950"/>
      <c r="E66" s="950"/>
      <c r="F66" s="948"/>
      <c r="G66" s="948"/>
      <c r="H66" s="948"/>
      <c r="I66" s="948"/>
      <c r="J66" s="948"/>
      <c r="K66" s="948"/>
      <c r="L66" s="948"/>
      <c r="M66" s="952"/>
      <c r="N66" s="959" t="str">
        <f>A66</f>
        <v>B</v>
      </c>
      <c r="O66" s="959" t="str">
        <f>B66</f>
        <v>Horizontal</v>
      </c>
      <c r="P66" s="950"/>
      <c r="Q66" s="950"/>
      <c r="R66" s="950"/>
      <c r="S66" s="950"/>
      <c r="T66" s="950"/>
      <c r="U66" s="950"/>
      <c r="V66" s="950"/>
      <c r="W66" s="950"/>
      <c r="X66" s="950"/>
      <c r="Y66" s="950"/>
      <c r="Z66" s="950"/>
      <c r="AA66" s="950"/>
      <c r="AB66" s="950"/>
      <c r="AC66" s="950"/>
      <c r="AD66" s="950"/>
      <c r="AE66" s="950"/>
      <c r="AF66" s="955"/>
      <c r="AG66" s="955"/>
      <c r="AH66" s="955"/>
      <c r="AI66" s="955"/>
      <c r="AJ66" s="955"/>
      <c r="AK66" s="948"/>
      <c r="AL66" s="948"/>
      <c r="AM66" s="948"/>
      <c r="AN66" s="948"/>
      <c r="AO66" s="948"/>
      <c r="AP66" s="948"/>
      <c r="AQ66" s="948"/>
      <c r="AR66" s="948"/>
      <c r="AS66" s="948"/>
      <c r="AT66" s="948"/>
      <c r="AU66" s="948"/>
      <c r="AV66" s="948"/>
      <c r="AW66" s="948"/>
      <c r="AX66" s="948"/>
      <c r="AY66" s="948"/>
      <c r="AZ66" s="948"/>
      <c r="BA66" s="948"/>
      <c r="BB66" s="948"/>
      <c r="BC66" s="957"/>
      <c r="BD66" s="957"/>
      <c r="BE66" s="957"/>
      <c r="BF66" s="957"/>
      <c r="BG66" s="957"/>
      <c r="BH66" s="957"/>
      <c r="BI66" s="957"/>
      <c r="BJ66" s="957"/>
      <c r="BK66" s="957"/>
      <c r="BL66" s="948"/>
      <c r="BM66" s="948"/>
      <c r="BN66" s="948"/>
      <c r="BO66" s="948"/>
      <c r="BP66" s="948"/>
      <c r="BQ66" s="948"/>
      <c r="BR66" s="948"/>
      <c r="BS66" s="948"/>
      <c r="BT66" s="955"/>
    </row>
    <row r="67" spans="1:72">
      <c r="A67" s="952">
        <v>1</v>
      </c>
      <c r="B67" s="952" t="s">
        <v>1105</v>
      </c>
      <c r="C67" s="950" t="s">
        <v>1106</v>
      </c>
      <c r="D67" s="950">
        <v>1</v>
      </c>
      <c r="E67" s="950">
        <v>1</v>
      </c>
      <c r="F67" s="948">
        <v>72</v>
      </c>
      <c r="G67" s="948">
        <v>0.3</v>
      </c>
      <c r="H67" s="948">
        <v>0.65</v>
      </c>
      <c r="I67" s="948">
        <v>0.12</v>
      </c>
      <c r="J67" s="948">
        <f t="shared" ref="J67:J79" si="94">H67-I67</f>
        <v>0.53</v>
      </c>
      <c r="K67" s="948">
        <f t="shared" ref="K67" si="95">F67*G67*J67*D67*E67</f>
        <v>11.447999999999999</v>
      </c>
      <c r="L67" s="948">
        <f>(2*J67)*F67*E67*D67</f>
        <v>76.320000000000007</v>
      </c>
      <c r="M67" s="952"/>
      <c r="N67" s="950">
        <v>16</v>
      </c>
      <c r="O67" s="950">
        <v>16</v>
      </c>
      <c r="P67" s="950">
        <v>16</v>
      </c>
      <c r="Q67" s="950">
        <v>16</v>
      </c>
      <c r="R67" s="950">
        <v>16</v>
      </c>
      <c r="S67" s="950">
        <v>16</v>
      </c>
      <c r="T67" s="950">
        <v>8</v>
      </c>
      <c r="U67" s="950"/>
      <c r="V67" s="950"/>
      <c r="W67" s="950">
        <v>200</v>
      </c>
      <c r="X67" s="950">
        <v>100</v>
      </c>
      <c r="Y67" s="950">
        <f>X67</f>
        <v>100</v>
      </c>
      <c r="Z67" s="950">
        <v>9</v>
      </c>
      <c r="AA67" s="950">
        <v>6</v>
      </c>
      <c r="AB67" s="950">
        <v>16</v>
      </c>
      <c r="AC67" s="950">
        <v>16</v>
      </c>
      <c r="AD67" s="950">
        <v>9</v>
      </c>
      <c r="AE67" s="950">
        <v>6</v>
      </c>
      <c r="AF67" s="955">
        <f t="shared" ref="AF67:AF79" si="96">(F67/4)/(W67/1000)+1</f>
        <v>91</v>
      </c>
      <c r="AG67" s="955">
        <f t="shared" ref="AG67:AG79" si="97">(F67/2)/(X67/1000)+1</f>
        <v>361</v>
      </c>
      <c r="AH67" s="955">
        <f t="shared" ref="AH67:AH79" si="98">(F67/4)/(Y67/1000)+1</f>
        <v>181</v>
      </c>
      <c r="AI67" s="955"/>
      <c r="AJ67" s="955"/>
      <c r="AK67" s="948">
        <f t="shared" ref="AK67:AK79" si="99">(F67/4)+(20*N67/1000)+(10*N67/1000)+(8*N67/1000)+(6*2*N67/1000)</f>
        <v>18.8</v>
      </c>
      <c r="AL67" s="948">
        <f t="shared" ref="AL67:AL79" si="100">(F67/4)+(20*O67/1000)+(10*O67/1000)+(8*O67/1000)+(6*2*O67/1000)</f>
        <v>18.8</v>
      </c>
      <c r="AM67" s="948">
        <f t="shared" ref="AM67:AM79" si="101">(F67/2)+(20*P67/1000)+(6*2*P67/1000)</f>
        <v>36.512</v>
      </c>
      <c r="AN67" s="948">
        <f t="shared" ref="AN67:AN79" si="102">(F67/2)+(20*Q67/1000)+(6*2*Q67/1000)</f>
        <v>36.512</v>
      </c>
      <c r="AO67" s="948">
        <f t="shared" ref="AO67:AO79" si="103">(F67/4)+(20*R67/1000)+(10*R67/1000)+(8*R67/1000)+(6*2*R67/1000)</f>
        <v>18.8</v>
      </c>
      <c r="AP67" s="948">
        <f t="shared" ref="AP67:AP79" si="104">(F67/4)+(20*S67/1000)+(10*S67/1000)+(8*S67/1000)+(6*2*S67/1000)</f>
        <v>18.8</v>
      </c>
      <c r="AQ67" s="948">
        <f t="shared" ref="AQ67:AQ79" si="105">(2*G67)+(2*H67)+(6*T67/1000)-(8*0.03)</f>
        <v>1.708</v>
      </c>
      <c r="AR67" s="948"/>
      <c r="AS67" s="948"/>
      <c r="AT67" s="948">
        <f t="shared" ref="AT67:AT79" si="106">AK67*Z67*E67*D67</f>
        <v>169.20000000000002</v>
      </c>
      <c r="AU67" s="948">
        <f t="shared" ref="AU67:AU79" si="107">AL67*AA67*E67*D67</f>
        <v>112.80000000000001</v>
      </c>
      <c r="AV67" s="948">
        <f t="shared" ref="AV67:AV79" si="108">AM67*AB67*E67*D67</f>
        <v>584.19200000000001</v>
      </c>
      <c r="AW67" s="948">
        <f t="shared" ref="AW67:AW79" si="109">AN67*AC67*E67*D67</f>
        <v>584.19200000000001</v>
      </c>
      <c r="AX67" s="948">
        <f t="shared" ref="AX67:AX79" si="110">AO67*AD67*E67*D67</f>
        <v>169.20000000000002</v>
      </c>
      <c r="AY67" s="948">
        <f t="shared" ref="AY67:AY79" si="111">AP67*AE67*E67*D67</f>
        <v>112.80000000000001</v>
      </c>
      <c r="AZ67" s="948">
        <f t="shared" ref="AZ67:AZ79" si="112">AQ67*(AF67+AG67+AH67)*E67*D67</f>
        <v>1081.164</v>
      </c>
      <c r="BA67" s="948"/>
      <c r="BB67" s="948"/>
      <c r="BC67" s="957">
        <f t="shared" ref="BC67:BK79" si="113">N67*N67*0.074/12</f>
        <v>1.5786666666666667</v>
      </c>
      <c r="BD67" s="957">
        <f t="shared" si="113"/>
        <v>1.5786666666666667</v>
      </c>
      <c r="BE67" s="957">
        <f t="shared" si="113"/>
        <v>1.5786666666666667</v>
      </c>
      <c r="BF67" s="957">
        <f t="shared" si="113"/>
        <v>1.5786666666666667</v>
      </c>
      <c r="BG67" s="957">
        <f t="shared" si="113"/>
        <v>1.5786666666666667</v>
      </c>
      <c r="BH67" s="957">
        <f t="shared" si="113"/>
        <v>1.5786666666666667</v>
      </c>
      <c r="BI67" s="957">
        <f t="shared" si="113"/>
        <v>0.39466666666666667</v>
      </c>
      <c r="BJ67" s="957">
        <f t="shared" si="113"/>
        <v>0</v>
      </c>
      <c r="BK67" s="957">
        <f t="shared" si="113"/>
        <v>0</v>
      </c>
      <c r="BL67" s="948">
        <f t="shared" ref="BL67:BR79" si="114">AT67*BC67</f>
        <v>267.11040000000003</v>
      </c>
      <c r="BM67" s="948">
        <f t="shared" si="114"/>
        <v>178.07360000000003</v>
      </c>
      <c r="BN67" s="948">
        <f t="shared" si="114"/>
        <v>922.24443733333339</v>
      </c>
      <c r="BO67" s="948">
        <f t="shared" si="114"/>
        <v>922.24443733333339</v>
      </c>
      <c r="BP67" s="948">
        <f t="shared" si="114"/>
        <v>267.11040000000003</v>
      </c>
      <c r="BQ67" s="948">
        <f t="shared" si="114"/>
        <v>178.07360000000003</v>
      </c>
      <c r="BR67" s="948">
        <f>AZ67*BI67</f>
        <v>426.69939199999999</v>
      </c>
      <c r="BS67" s="948">
        <f t="shared" ref="BS67:BS79" si="115">BB67*BK67</f>
        <v>0</v>
      </c>
      <c r="BT67" s="955">
        <f t="shared" ref="BT67:BT79" si="116">SUM(BL67:BS67)/K67</f>
        <v>276.16668996040073</v>
      </c>
    </row>
    <row r="68" spans="1:72">
      <c r="A68" s="952">
        <v>2</v>
      </c>
      <c r="B68" s="952" t="s">
        <v>1107</v>
      </c>
      <c r="C68" s="950" t="s">
        <v>1108</v>
      </c>
      <c r="D68" s="950">
        <v>1</v>
      </c>
      <c r="E68" s="950">
        <v>1</v>
      </c>
      <c r="F68" s="948">
        <v>64</v>
      </c>
      <c r="G68" s="948">
        <v>0.3</v>
      </c>
      <c r="H68" s="948">
        <v>0.65</v>
      </c>
      <c r="I68" s="948">
        <v>0.12</v>
      </c>
      <c r="J68" s="948">
        <f t="shared" si="94"/>
        <v>0.53</v>
      </c>
      <c r="K68" s="948">
        <f>F68*G68*J68*D68*E68</f>
        <v>10.176</v>
      </c>
      <c r="L68" s="948">
        <f t="shared" ref="L68:L79" si="117">(2*J68)*F68*E68*D68</f>
        <v>67.84</v>
      </c>
      <c r="M68" s="952"/>
      <c r="N68" s="950">
        <v>16</v>
      </c>
      <c r="O68" s="950">
        <v>16</v>
      </c>
      <c r="P68" s="950">
        <v>16</v>
      </c>
      <c r="Q68" s="950">
        <v>16</v>
      </c>
      <c r="R68" s="950">
        <v>16</v>
      </c>
      <c r="S68" s="950">
        <v>16</v>
      </c>
      <c r="T68" s="950">
        <v>8</v>
      </c>
      <c r="U68" s="950"/>
      <c r="V68" s="950"/>
      <c r="W68" s="950">
        <v>200</v>
      </c>
      <c r="X68" s="950">
        <v>100</v>
      </c>
      <c r="Y68" s="950">
        <v>100</v>
      </c>
      <c r="Z68" s="950">
        <v>4</v>
      </c>
      <c r="AA68" s="950">
        <v>4</v>
      </c>
      <c r="AB68" s="950">
        <v>2</v>
      </c>
      <c r="AC68" s="950">
        <v>2</v>
      </c>
      <c r="AD68" s="950">
        <v>4</v>
      </c>
      <c r="AE68" s="950">
        <v>4</v>
      </c>
      <c r="AF68" s="955">
        <f t="shared" si="96"/>
        <v>81</v>
      </c>
      <c r="AG68" s="955">
        <f t="shared" si="97"/>
        <v>321</v>
      </c>
      <c r="AH68" s="955">
        <f t="shared" si="98"/>
        <v>161</v>
      </c>
      <c r="AI68" s="955"/>
      <c r="AJ68" s="955"/>
      <c r="AK68" s="948">
        <f t="shared" si="99"/>
        <v>16.8</v>
      </c>
      <c r="AL68" s="948">
        <f t="shared" si="100"/>
        <v>16.8</v>
      </c>
      <c r="AM68" s="948">
        <f t="shared" si="101"/>
        <v>32.512</v>
      </c>
      <c r="AN68" s="948">
        <f t="shared" si="102"/>
        <v>32.512</v>
      </c>
      <c r="AO68" s="948">
        <f t="shared" si="103"/>
        <v>16.8</v>
      </c>
      <c r="AP68" s="948">
        <f t="shared" si="104"/>
        <v>16.8</v>
      </c>
      <c r="AQ68" s="948">
        <f t="shared" si="105"/>
        <v>1.708</v>
      </c>
      <c r="AR68" s="948"/>
      <c r="AS68" s="948"/>
      <c r="AT68" s="948">
        <f t="shared" si="106"/>
        <v>67.2</v>
      </c>
      <c r="AU68" s="948">
        <f t="shared" si="107"/>
        <v>67.2</v>
      </c>
      <c r="AV68" s="948">
        <f t="shared" si="108"/>
        <v>65.024000000000001</v>
      </c>
      <c r="AW68" s="948">
        <f t="shared" si="109"/>
        <v>65.024000000000001</v>
      </c>
      <c r="AX68" s="948">
        <f t="shared" si="110"/>
        <v>67.2</v>
      </c>
      <c r="AY68" s="948">
        <f t="shared" si="111"/>
        <v>67.2</v>
      </c>
      <c r="AZ68" s="948">
        <f t="shared" si="112"/>
        <v>961.60399999999993</v>
      </c>
      <c r="BA68" s="948"/>
      <c r="BB68" s="948"/>
      <c r="BC68" s="957">
        <f t="shared" si="113"/>
        <v>1.5786666666666667</v>
      </c>
      <c r="BD68" s="957">
        <f t="shared" si="113"/>
        <v>1.5786666666666667</v>
      </c>
      <c r="BE68" s="957">
        <f t="shared" si="113"/>
        <v>1.5786666666666667</v>
      </c>
      <c r="BF68" s="957">
        <f t="shared" si="113"/>
        <v>1.5786666666666667</v>
      </c>
      <c r="BG68" s="957">
        <f t="shared" si="113"/>
        <v>1.5786666666666667</v>
      </c>
      <c r="BH68" s="957">
        <f t="shared" si="113"/>
        <v>1.5786666666666667</v>
      </c>
      <c r="BI68" s="957">
        <f t="shared" si="113"/>
        <v>0.39466666666666667</v>
      </c>
      <c r="BJ68" s="957">
        <f t="shared" si="113"/>
        <v>0</v>
      </c>
      <c r="BK68" s="957">
        <f t="shared" si="113"/>
        <v>0</v>
      </c>
      <c r="BL68" s="948">
        <f t="shared" si="114"/>
        <v>106.0864</v>
      </c>
      <c r="BM68" s="948">
        <f t="shared" si="114"/>
        <v>106.0864</v>
      </c>
      <c r="BN68" s="948">
        <f t="shared" si="114"/>
        <v>102.65122133333334</v>
      </c>
      <c r="BO68" s="948">
        <f t="shared" si="114"/>
        <v>102.65122133333334</v>
      </c>
      <c r="BP68" s="948">
        <f t="shared" si="114"/>
        <v>106.0864</v>
      </c>
      <c r="BQ68" s="948">
        <f t="shared" si="114"/>
        <v>106.0864</v>
      </c>
      <c r="BR68" s="948">
        <f t="shared" si="114"/>
        <v>379.51304533333331</v>
      </c>
      <c r="BS68" s="948">
        <f t="shared" si="115"/>
        <v>0</v>
      </c>
      <c r="BT68" s="955">
        <f t="shared" si="116"/>
        <v>99.170704402515724</v>
      </c>
    </row>
    <row r="69" spans="1:72">
      <c r="A69" s="952">
        <v>3</v>
      </c>
      <c r="B69" s="952" t="s">
        <v>1109</v>
      </c>
      <c r="C69" s="950" t="s">
        <v>1110</v>
      </c>
      <c r="D69" s="950">
        <v>1</v>
      </c>
      <c r="E69" s="950">
        <v>1</v>
      </c>
      <c r="F69" s="948">
        <v>405.6</v>
      </c>
      <c r="G69" s="948">
        <v>0.25</v>
      </c>
      <c r="H69" s="948">
        <v>0.6</v>
      </c>
      <c r="I69" s="948">
        <v>0.12</v>
      </c>
      <c r="J69" s="948">
        <f t="shared" si="94"/>
        <v>0.48</v>
      </c>
      <c r="K69" s="948">
        <f>F69*G69*J69*D69*E69</f>
        <v>48.672000000000004</v>
      </c>
      <c r="L69" s="948">
        <f t="shared" si="117"/>
        <v>389.37600000000003</v>
      </c>
      <c r="M69" s="952"/>
      <c r="N69" s="950">
        <v>16</v>
      </c>
      <c r="O69" s="950">
        <v>16</v>
      </c>
      <c r="P69" s="950">
        <v>16</v>
      </c>
      <c r="Q69" s="950">
        <v>16</v>
      </c>
      <c r="R69" s="950">
        <v>16</v>
      </c>
      <c r="S69" s="950">
        <v>16</v>
      </c>
      <c r="T69" s="950">
        <v>8</v>
      </c>
      <c r="U69" s="950"/>
      <c r="V69" s="950"/>
      <c r="W69" s="950">
        <v>200</v>
      </c>
      <c r="X69" s="950">
        <v>100</v>
      </c>
      <c r="Y69" s="950">
        <v>100</v>
      </c>
      <c r="Z69" s="950">
        <v>10</v>
      </c>
      <c r="AA69" s="950">
        <v>10</v>
      </c>
      <c r="AB69" s="950">
        <v>10</v>
      </c>
      <c r="AC69" s="950">
        <v>10</v>
      </c>
      <c r="AD69" s="950">
        <v>10</v>
      </c>
      <c r="AE69" s="950">
        <v>10</v>
      </c>
      <c r="AF69" s="955">
        <f t="shared" si="96"/>
        <v>508</v>
      </c>
      <c r="AG69" s="955">
        <f t="shared" si="97"/>
        <v>2029</v>
      </c>
      <c r="AH69" s="955">
        <f t="shared" si="98"/>
        <v>1015</v>
      </c>
      <c r="AI69" s="955"/>
      <c r="AJ69" s="955"/>
      <c r="AK69" s="948">
        <f t="shared" si="99"/>
        <v>102.19999999999999</v>
      </c>
      <c r="AL69" s="948">
        <f t="shared" si="100"/>
        <v>102.19999999999999</v>
      </c>
      <c r="AM69" s="948">
        <f t="shared" si="101"/>
        <v>203.31200000000001</v>
      </c>
      <c r="AN69" s="948">
        <f t="shared" si="102"/>
        <v>203.31200000000001</v>
      </c>
      <c r="AO69" s="948">
        <f t="shared" si="103"/>
        <v>102.19999999999999</v>
      </c>
      <c r="AP69" s="948">
        <f t="shared" si="104"/>
        <v>102.19999999999999</v>
      </c>
      <c r="AQ69" s="948">
        <f t="shared" si="105"/>
        <v>1.508</v>
      </c>
      <c r="AR69" s="948"/>
      <c r="AS69" s="948"/>
      <c r="AT69" s="948">
        <f t="shared" si="106"/>
        <v>1021.9999999999999</v>
      </c>
      <c r="AU69" s="948">
        <f t="shared" si="107"/>
        <v>1021.9999999999999</v>
      </c>
      <c r="AV69" s="948">
        <f t="shared" si="108"/>
        <v>2033.1200000000001</v>
      </c>
      <c r="AW69" s="948">
        <f t="shared" si="109"/>
        <v>2033.1200000000001</v>
      </c>
      <c r="AX69" s="948">
        <f t="shared" si="110"/>
        <v>1021.9999999999999</v>
      </c>
      <c r="AY69" s="948">
        <f t="shared" si="111"/>
        <v>1021.9999999999999</v>
      </c>
      <c r="AZ69" s="948">
        <f t="shared" si="112"/>
        <v>5356.4160000000002</v>
      </c>
      <c r="BA69" s="948"/>
      <c r="BB69" s="948"/>
      <c r="BC69" s="957">
        <f t="shared" si="113"/>
        <v>1.5786666666666667</v>
      </c>
      <c r="BD69" s="957">
        <f t="shared" si="113"/>
        <v>1.5786666666666667</v>
      </c>
      <c r="BE69" s="957">
        <f t="shared" si="113"/>
        <v>1.5786666666666667</v>
      </c>
      <c r="BF69" s="957">
        <f t="shared" si="113"/>
        <v>1.5786666666666667</v>
      </c>
      <c r="BG69" s="957">
        <f t="shared" si="113"/>
        <v>1.5786666666666667</v>
      </c>
      <c r="BH69" s="957">
        <f t="shared" si="113"/>
        <v>1.5786666666666667</v>
      </c>
      <c r="BI69" s="957">
        <f t="shared" si="113"/>
        <v>0.39466666666666667</v>
      </c>
      <c r="BJ69" s="957">
        <f t="shared" si="113"/>
        <v>0</v>
      </c>
      <c r="BK69" s="957">
        <f t="shared" si="113"/>
        <v>0</v>
      </c>
      <c r="BL69" s="948">
        <f t="shared" si="114"/>
        <v>1613.3973333333331</v>
      </c>
      <c r="BM69" s="948">
        <f t="shared" si="114"/>
        <v>1613.3973333333331</v>
      </c>
      <c r="BN69" s="948">
        <f t="shared" si="114"/>
        <v>3209.6187733333336</v>
      </c>
      <c r="BO69" s="948">
        <f t="shared" si="114"/>
        <v>3209.6187733333336</v>
      </c>
      <c r="BP69" s="948">
        <f t="shared" si="114"/>
        <v>1613.3973333333331</v>
      </c>
      <c r="BQ69" s="948">
        <f t="shared" si="114"/>
        <v>1613.3973333333331</v>
      </c>
      <c r="BR69" s="948">
        <f t="shared" si="114"/>
        <v>2113.9988480000002</v>
      </c>
      <c r="BS69" s="948">
        <f t="shared" si="115"/>
        <v>0</v>
      </c>
      <c r="BT69" s="955">
        <f t="shared" si="116"/>
        <v>307.91472978303744</v>
      </c>
    </row>
    <row r="70" spans="1:72">
      <c r="A70" s="952">
        <v>4</v>
      </c>
      <c r="B70" s="952" t="s">
        <v>1111</v>
      </c>
      <c r="C70" s="950" t="s">
        <v>1112</v>
      </c>
      <c r="D70" s="950">
        <v>1</v>
      </c>
      <c r="E70" s="950">
        <v>1</v>
      </c>
      <c r="F70" s="948">
        <v>126</v>
      </c>
      <c r="G70" s="948">
        <v>0.25</v>
      </c>
      <c r="H70" s="948">
        <v>0.6</v>
      </c>
      <c r="I70" s="948">
        <v>0.12</v>
      </c>
      <c r="J70" s="948">
        <f t="shared" si="94"/>
        <v>0.48</v>
      </c>
      <c r="K70" s="948">
        <f>F70*G70*J70*D70*E70</f>
        <v>15.12</v>
      </c>
      <c r="L70" s="948">
        <f t="shared" si="117"/>
        <v>120.96</v>
      </c>
      <c r="M70" s="952"/>
      <c r="N70" s="950">
        <v>19</v>
      </c>
      <c r="O70" s="950">
        <v>19</v>
      </c>
      <c r="P70" s="950">
        <v>19</v>
      </c>
      <c r="Q70" s="950">
        <v>19</v>
      </c>
      <c r="R70" s="950">
        <v>19</v>
      </c>
      <c r="S70" s="950">
        <v>19</v>
      </c>
      <c r="T70" s="950">
        <v>8</v>
      </c>
      <c r="U70" s="950"/>
      <c r="V70" s="950"/>
      <c r="W70" s="950">
        <v>200</v>
      </c>
      <c r="X70" s="950">
        <v>100</v>
      </c>
      <c r="Y70" s="950">
        <v>100</v>
      </c>
      <c r="Z70" s="950">
        <v>9</v>
      </c>
      <c r="AA70" s="950">
        <v>6</v>
      </c>
      <c r="AB70" s="950">
        <v>8</v>
      </c>
      <c r="AC70" s="950">
        <v>8</v>
      </c>
      <c r="AD70" s="950">
        <v>9</v>
      </c>
      <c r="AE70" s="950">
        <v>6</v>
      </c>
      <c r="AF70" s="955">
        <f t="shared" si="96"/>
        <v>158.5</v>
      </c>
      <c r="AG70" s="955">
        <f t="shared" si="97"/>
        <v>631</v>
      </c>
      <c r="AH70" s="955">
        <f t="shared" si="98"/>
        <v>316</v>
      </c>
      <c r="AI70" s="955"/>
      <c r="AJ70" s="955"/>
      <c r="AK70" s="948">
        <f t="shared" si="99"/>
        <v>32.450000000000003</v>
      </c>
      <c r="AL70" s="948">
        <f t="shared" si="100"/>
        <v>32.450000000000003</v>
      </c>
      <c r="AM70" s="948">
        <f t="shared" si="101"/>
        <v>63.608000000000004</v>
      </c>
      <c r="AN70" s="948">
        <f t="shared" si="102"/>
        <v>63.608000000000004</v>
      </c>
      <c r="AO70" s="948">
        <f t="shared" si="103"/>
        <v>32.450000000000003</v>
      </c>
      <c r="AP70" s="948">
        <f t="shared" si="104"/>
        <v>32.450000000000003</v>
      </c>
      <c r="AQ70" s="948">
        <f t="shared" si="105"/>
        <v>1.508</v>
      </c>
      <c r="AR70" s="948"/>
      <c r="AS70" s="948"/>
      <c r="AT70" s="948">
        <f t="shared" si="106"/>
        <v>292.05</v>
      </c>
      <c r="AU70" s="948">
        <f t="shared" si="107"/>
        <v>194.70000000000002</v>
      </c>
      <c r="AV70" s="948">
        <f t="shared" si="108"/>
        <v>508.86400000000003</v>
      </c>
      <c r="AW70" s="948">
        <f t="shared" si="109"/>
        <v>508.86400000000003</v>
      </c>
      <c r="AX70" s="948">
        <f t="shared" si="110"/>
        <v>292.05</v>
      </c>
      <c r="AY70" s="948">
        <f t="shared" si="111"/>
        <v>194.70000000000002</v>
      </c>
      <c r="AZ70" s="948">
        <f t="shared" si="112"/>
        <v>1667.0940000000001</v>
      </c>
      <c r="BA70" s="948"/>
      <c r="BB70" s="948"/>
      <c r="BC70" s="957">
        <f t="shared" si="113"/>
        <v>2.2261666666666664</v>
      </c>
      <c r="BD70" s="957">
        <f t="shared" si="113"/>
        <v>2.2261666666666664</v>
      </c>
      <c r="BE70" s="957">
        <f t="shared" si="113"/>
        <v>2.2261666666666664</v>
      </c>
      <c r="BF70" s="957">
        <f t="shared" si="113"/>
        <v>2.2261666666666664</v>
      </c>
      <c r="BG70" s="957">
        <f t="shared" si="113"/>
        <v>2.2261666666666664</v>
      </c>
      <c r="BH70" s="957">
        <f t="shared" si="113"/>
        <v>2.2261666666666664</v>
      </c>
      <c r="BI70" s="957">
        <f t="shared" si="113"/>
        <v>0.39466666666666667</v>
      </c>
      <c r="BJ70" s="957">
        <f t="shared" si="113"/>
        <v>0</v>
      </c>
      <c r="BK70" s="957">
        <f t="shared" si="113"/>
        <v>0</v>
      </c>
      <c r="BL70" s="948">
        <f t="shared" si="114"/>
        <v>650.15197499999999</v>
      </c>
      <c r="BM70" s="948">
        <f t="shared" si="114"/>
        <v>433.43464999999998</v>
      </c>
      <c r="BN70" s="948">
        <f t="shared" si="114"/>
        <v>1132.8160746666665</v>
      </c>
      <c r="BO70" s="948">
        <f t="shared" si="114"/>
        <v>1132.8160746666665</v>
      </c>
      <c r="BP70" s="948">
        <f t="shared" si="114"/>
        <v>650.15197499999999</v>
      </c>
      <c r="BQ70" s="948">
        <f t="shared" si="114"/>
        <v>433.43464999999998</v>
      </c>
      <c r="BR70" s="948">
        <f t="shared" si="114"/>
        <v>657.94643200000007</v>
      </c>
      <c r="BS70" s="948">
        <f t="shared" si="115"/>
        <v>0</v>
      </c>
      <c r="BT70" s="955">
        <f t="shared" si="116"/>
        <v>336.6899359347442</v>
      </c>
    </row>
    <row r="71" spans="1:72">
      <c r="A71" s="952">
        <v>5</v>
      </c>
      <c r="B71" s="952" t="s">
        <v>1113</v>
      </c>
      <c r="C71" s="950" t="s">
        <v>1114</v>
      </c>
      <c r="D71" s="950">
        <v>1</v>
      </c>
      <c r="E71" s="950">
        <v>1</v>
      </c>
      <c r="F71" s="948">
        <v>144</v>
      </c>
      <c r="G71" s="948">
        <v>0.25</v>
      </c>
      <c r="H71" s="948">
        <v>0.6</v>
      </c>
      <c r="I71" s="948">
        <v>0.12</v>
      </c>
      <c r="J71" s="948">
        <f t="shared" si="94"/>
        <v>0.48</v>
      </c>
      <c r="K71" s="948">
        <f>F71*G71*J71*D71*E71</f>
        <v>17.28</v>
      </c>
      <c r="L71" s="948">
        <f t="shared" si="117"/>
        <v>138.24</v>
      </c>
      <c r="M71" s="952"/>
      <c r="N71" s="950">
        <f t="shared" ref="N71:S73" si="118">N67</f>
        <v>16</v>
      </c>
      <c r="O71" s="950">
        <f t="shared" si="118"/>
        <v>16</v>
      </c>
      <c r="P71" s="950">
        <f t="shared" si="118"/>
        <v>16</v>
      </c>
      <c r="Q71" s="950">
        <f t="shared" si="118"/>
        <v>16</v>
      </c>
      <c r="R71" s="950">
        <f t="shared" si="118"/>
        <v>16</v>
      </c>
      <c r="S71" s="950">
        <f t="shared" si="118"/>
        <v>16</v>
      </c>
      <c r="T71" s="950">
        <v>8</v>
      </c>
      <c r="U71" s="950"/>
      <c r="V71" s="950"/>
      <c r="W71" s="950">
        <v>200</v>
      </c>
      <c r="X71" s="950">
        <v>100</v>
      </c>
      <c r="Y71" s="950">
        <f t="shared" ref="Y71" si="119">Y67</f>
        <v>100</v>
      </c>
      <c r="Z71" s="950">
        <v>4</v>
      </c>
      <c r="AA71" s="950">
        <v>4</v>
      </c>
      <c r="AB71" s="950">
        <v>2</v>
      </c>
      <c r="AC71" s="950">
        <v>2</v>
      </c>
      <c r="AD71" s="950">
        <v>4</v>
      </c>
      <c r="AE71" s="950">
        <v>4</v>
      </c>
      <c r="AF71" s="955">
        <f t="shared" si="96"/>
        <v>181</v>
      </c>
      <c r="AG71" s="955">
        <f t="shared" si="97"/>
        <v>721</v>
      </c>
      <c r="AH71" s="955">
        <f t="shared" si="98"/>
        <v>361</v>
      </c>
      <c r="AI71" s="955"/>
      <c r="AJ71" s="955"/>
      <c r="AK71" s="948">
        <f t="shared" si="99"/>
        <v>36.799999999999997</v>
      </c>
      <c r="AL71" s="948">
        <f t="shared" si="100"/>
        <v>36.799999999999997</v>
      </c>
      <c r="AM71" s="948">
        <f t="shared" si="101"/>
        <v>72.511999999999986</v>
      </c>
      <c r="AN71" s="948">
        <f t="shared" si="102"/>
        <v>72.511999999999986</v>
      </c>
      <c r="AO71" s="948">
        <f t="shared" si="103"/>
        <v>36.799999999999997</v>
      </c>
      <c r="AP71" s="948">
        <f t="shared" si="104"/>
        <v>36.799999999999997</v>
      </c>
      <c r="AQ71" s="948">
        <f t="shared" si="105"/>
        <v>1.508</v>
      </c>
      <c r="AR71" s="948"/>
      <c r="AS71" s="948"/>
      <c r="AT71" s="948">
        <f t="shared" si="106"/>
        <v>147.19999999999999</v>
      </c>
      <c r="AU71" s="948">
        <f t="shared" si="107"/>
        <v>147.19999999999999</v>
      </c>
      <c r="AV71" s="948">
        <f t="shared" si="108"/>
        <v>145.02399999999997</v>
      </c>
      <c r="AW71" s="948">
        <f t="shared" si="109"/>
        <v>145.02399999999997</v>
      </c>
      <c r="AX71" s="948">
        <f t="shared" si="110"/>
        <v>147.19999999999999</v>
      </c>
      <c r="AY71" s="948">
        <f t="shared" si="111"/>
        <v>147.19999999999999</v>
      </c>
      <c r="AZ71" s="948">
        <f t="shared" si="112"/>
        <v>1904.604</v>
      </c>
      <c r="BA71" s="948"/>
      <c r="BB71" s="948"/>
      <c r="BC71" s="957">
        <f t="shared" si="113"/>
        <v>1.5786666666666667</v>
      </c>
      <c r="BD71" s="957">
        <f t="shared" si="113"/>
        <v>1.5786666666666667</v>
      </c>
      <c r="BE71" s="957">
        <f t="shared" si="113"/>
        <v>1.5786666666666667</v>
      </c>
      <c r="BF71" s="957">
        <f t="shared" si="113"/>
        <v>1.5786666666666667</v>
      </c>
      <c r="BG71" s="957">
        <f t="shared" si="113"/>
        <v>1.5786666666666667</v>
      </c>
      <c r="BH71" s="957">
        <f t="shared" si="113"/>
        <v>1.5786666666666667</v>
      </c>
      <c r="BI71" s="957">
        <f t="shared" si="113"/>
        <v>0.39466666666666667</v>
      </c>
      <c r="BJ71" s="957">
        <f t="shared" si="113"/>
        <v>0</v>
      </c>
      <c r="BK71" s="957">
        <f t="shared" si="113"/>
        <v>0</v>
      </c>
      <c r="BL71" s="948">
        <f t="shared" si="114"/>
        <v>232.37973333333332</v>
      </c>
      <c r="BM71" s="948">
        <f t="shared" si="114"/>
        <v>232.37973333333332</v>
      </c>
      <c r="BN71" s="948">
        <f t="shared" si="114"/>
        <v>228.94455466666662</v>
      </c>
      <c r="BO71" s="948">
        <f t="shared" si="114"/>
        <v>228.94455466666662</v>
      </c>
      <c r="BP71" s="948">
        <f t="shared" si="114"/>
        <v>232.37973333333332</v>
      </c>
      <c r="BQ71" s="948">
        <f t="shared" si="114"/>
        <v>232.37973333333332</v>
      </c>
      <c r="BR71" s="948">
        <f t="shared" si="114"/>
        <v>751.68371200000001</v>
      </c>
      <c r="BS71" s="948">
        <f t="shared" si="115"/>
        <v>0</v>
      </c>
      <c r="BT71" s="955">
        <f t="shared" si="116"/>
        <v>123.79003209876541</v>
      </c>
    </row>
    <row r="72" spans="1:72">
      <c r="A72" s="952">
        <v>6</v>
      </c>
      <c r="B72" s="952" t="s">
        <v>1115</v>
      </c>
      <c r="C72" s="950" t="s">
        <v>1116</v>
      </c>
      <c r="D72" s="950">
        <v>1</v>
      </c>
      <c r="E72" s="950">
        <v>1</v>
      </c>
      <c r="F72" s="948">
        <v>108</v>
      </c>
      <c r="G72" s="948">
        <v>0.25</v>
      </c>
      <c r="H72" s="948">
        <v>0.6</v>
      </c>
      <c r="I72" s="948">
        <v>0.12</v>
      </c>
      <c r="J72" s="948">
        <f t="shared" si="94"/>
        <v>0.48</v>
      </c>
      <c r="K72" s="948">
        <f>F72*G72*J72*D72*E72</f>
        <v>12.959999999999999</v>
      </c>
      <c r="L72" s="948">
        <f t="shared" si="117"/>
        <v>103.67999999999999</v>
      </c>
      <c r="M72" s="952"/>
      <c r="N72" s="950">
        <f t="shared" si="118"/>
        <v>16</v>
      </c>
      <c r="O72" s="950">
        <f t="shared" si="118"/>
        <v>16</v>
      </c>
      <c r="P72" s="950">
        <f t="shared" si="118"/>
        <v>16</v>
      </c>
      <c r="Q72" s="950">
        <f t="shared" si="118"/>
        <v>16</v>
      </c>
      <c r="R72" s="950">
        <f t="shared" si="118"/>
        <v>16</v>
      </c>
      <c r="S72" s="950">
        <f t="shared" si="118"/>
        <v>16</v>
      </c>
      <c r="T72" s="950">
        <v>8</v>
      </c>
      <c r="U72" s="950"/>
      <c r="V72" s="950"/>
      <c r="W72" s="950">
        <v>200</v>
      </c>
      <c r="X72" s="950">
        <v>100</v>
      </c>
      <c r="Y72" s="950">
        <f t="shared" ref="Y72" si="120">X72</f>
        <v>100</v>
      </c>
      <c r="Z72" s="950">
        <v>9</v>
      </c>
      <c r="AA72" s="950">
        <v>6</v>
      </c>
      <c r="AB72" s="950">
        <v>16</v>
      </c>
      <c r="AC72" s="950">
        <v>16</v>
      </c>
      <c r="AD72" s="950">
        <v>9</v>
      </c>
      <c r="AE72" s="950">
        <v>6</v>
      </c>
      <c r="AF72" s="955">
        <f t="shared" si="96"/>
        <v>136</v>
      </c>
      <c r="AG72" s="955">
        <f t="shared" si="97"/>
        <v>541</v>
      </c>
      <c r="AH72" s="955">
        <f t="shared" si="98"/>
        <v>271</v>
      </c>
      <c r="AI72" s="955"/>
      <c r="AJ72" s="955"/>
      <c r="AK72" s="948">
        <f t="shared" si="99"/>
        <v>27.8</v>
      </c>
      <c r="AL72" s="948">
        <f t="shared" si="100"/>
        <v>27.8</v>
      </c>
      <c r="AM72" s="948">
        <f t="shared" si="101"/>
        <v>54.512</v>
      </c>
      <c r="AN72" s="948">
        <f t="shared" si="102"/>
        <v>54.512</v>
      </c>
      <c r="AO72" s="948">
        <f t="shared" si="103"/>
        <v>27.8</v>
      </c>
      <c r="AP72" s="948">
        <f t="shared" si="104"/>
        <v>27.8</v>
      </c>
      <c r="AQ72" s="948">
        <f t="shared" si="105"/>
        <v>1.508</v>
      </c>
      <c r="AR72" s="948"/>
      <c r="AS72" s="948"/>
      <c r="AT72" s="948">
        <f t="shared" si="106"/>
        <v>250.20000000000002</v>
      </c>
      <c r="AU72" s="948">
        <f t="shared" si="107"/>
        <v>166.8</v>
      </c>
      <c r="AV72" s="948">
        <f t="shared" si="108"/>
        <v>872.19200000000001</v>
      </c>
      <c r="AW72" s="948">
        <f t="shared" si="109"/>
        <v>872.19200000000001</v>
      </c>
      <c r="AX72" s="948">
        <f t="shared" si="110"/>
        <v>250.20000000000002</v>
      </c>
      <c r="AY72" s="948">
        <f t="shared" si="111"/>
        <v>166.8</v>
      </c>
      <c r="AZ72" s="948">
        <f t="shared" si="112"/>
        <v>1429.5840000000001</v>
      </c>
      <c r="BA72" s="948"/>
      <c r="BB72" s="948"/>
      <c r="BC72" s="957">
        <f t="shared" si="113"/>
        <v>1.5786666666666667</v>
      </c>
      <c r="BD72" s="957">
        <f t="shared" si="113"/>
        <v>1.5786666666666667</v>
      </c>
      <c r="BE72" s="957">
        <f t="shared" si="113"/>
        <v>1.5786666666666667</v>
      </c>
      <c r="BF72" s="957">
        <f t="shared" si="113"/>
        <v>1.5786666666666667</v>
      </c>
      <c r="BG72" s="957">
        <f t="shared" si="113"/>
        <v>1.5786666666666667</v>
      </c>
      <c r="BH72" s="957">
        <f t="shared" si="113"/>
        <v>1.5786666666666667</v>
      </c>
      <c r="BI72" s="957">
        <f t="shared" si="113"/>
        <v>0.39466666666666667</v>
      </c>
      <c r="BJ72" s="957">
        <f t="shared" si="113"/>
        <v>0</v>
      </c>
      <c r="BK72" s="957">
        <f t="shared" si="113"/>
        <v>0</v>
      </c>
      <c r="BL72" s="948">
        <f t="shared" si="114"/>
        <v>394.98240000000004</v>
      </c>
      <c r="BM72" s="948">
        <f t="shared" si="114"/>
        <v>263.32159999999999</v>
      </c>
      <c r="BN72" s="948">
        <f t="shared" si="114"/>
        <v>1376.9004373333332</v>
      </c>
      <c r="BO72" s="948">
        <f t="shared" si="114"/>
        <v>1376.9004373333332</v>
      </c>
      <c r="BP72" s="948">
        <f t="shared" si="114"/>
        <v>394.98240000000004</v>
      </c>
      <c r="BQ72" s="948">
        <f t="shared" si="114"/>
        <v>263.32159999999999</v>
      </c>
      <c r="BR72" s="948">
        <f t="shared" si="114"/>
        <v>564.20915200000002</v>
      </c>
      <c r="BS72" s="948">
        <f t="shared" si="115"/>
        <v>0</v>
      </c>
      <c r="BT72" s="955">
        <f t="shared" si="116"/>
        <v>357.60941563786014</v>
      </c>
    </row>
    <row r="73" spans="1:72">
      <c r="A73" s="952">
        <v>7</v>
      </c>
      <c r="B73" s="952" t="s">
        <v>1117</v>
      </c>
      <c r="C73" s="950" t="s">
        <v>1118</v>
      </c>
      <c r="D73" s="950">
        <v>1</v>
      </c>
      <c r="E73" s="950">
        <v>1</v>
      </c>
      <c r="F73" s="948">
        <v>132</v>
      </c>
      <c r="G73" s="948">
        <v>0.25</v>
      </c>
      <c r="H73" s="948">
        <v>0.6</v>
      </c>
      <c r="I73" s="948">
        <v>0.12</v>
      </c>
      <c r="J73" s="948">
        <f t="shared" si="94"/>
        <v>0.48</v>
      </c>
      <c r="K73" s="948">
        <f t="shared" ref="K73:K79" si="121">F73*G73*J73*D73*E73</f>
        <v>15.84</v>
      </c>
      <c r="L73" s="948">
        <f t="shared" si="117"/>
        <v>126.72</v>
      </c>
      <c r="M73" s="952"/>
      <c r="N73" s="950">
        <f>N72</f>
        <v>16</v>
      </c>
      <c r="O73" s="950">
        <f t="shared" si="118"/>
        <v>16</v>
      </c>
      <c r="P73" s="950">
        <f t="shared" si="118"/>
        <v>16</v>
      </c>
      <c r="Q73" s="950">
        <f t="shared" si="118"/>
        <v>16</v>
      </c>
      <c r="R73" s="950">
        <f t="shared" si="118"/>
        <v>16</v>
      </c>
      <c r="S73" s="950">
        <f t="shared" si="118"/>
        <v>16</v>
      </c>
      <c r="T73" s="950">
        <v>8</v>
      </c>
      <c r="U73" s="950"/>
      <c r="V73" s="950"/>
      <c r="W73" s="950">
        <v>200</v>
      </c>
      <c r="X73" s="950">
        <v>100</v>
      </c>
      <c r="Y73" s="950">
        <f>X73</f>
        <v>100</v>
      </c>
      <c r="Z73" s="950">
        <v>9</v>
      </c>
      <c r="AA73" s="950">
        <v>6</v>
      </c>
      <c r="AB73" s="950">
        <v>16</v>
      </c>
      <c r="AC73" s="950">
        <v>16</v>
      </c>
      <c r="AD73" s="950">
        <v>9</v>
      </c>
      <c r="AE73" s="950">
        <v>6</v>
      </c>
      <c r="AF73" s="955">
        <f t="shared" si="96"/>
        <v>166</v>
      </c>
      <c r="AG73" s="955">
        <f t="shared" si="97"/>
        <v>661</v>
      </c>
      <c r="AH73" s="955">
        <f t="shared" si="98"/>
        <v>331</v>
      </c>
      <c r="AI73" s="955"/>
      <c r="AJ73" s="955"/>
      <c r="AK73" s="948">
        <f t="shared" si="99"/>
        <v>33.799999999999997</v>
      </c>
      <c r="AL73" s="948">
        <f t="shared" si="100"/>
        <v>33.799999999999997</v>
      </c>
      <c r="AM73" s="948">
        <f t="shared" si="101"/>
        <v>66.511999999999986</v>
      </c>
      <c r="AN73" s="948">
        <f t="shared" si="102"/>
        <v>66.511999999999986</v>
      </c>
      <c r="AO73" s="948">
        <f t="shared" si="103"/>
        <v>33.799999999999997</v>
      </c>
      <c r="AP73" s="948">
        <f t="shared" si="104"/>
        <v>33.799999999999997</v>
      </c>
      <c r="AQ73" s="948">
        <f t="shared" si="105"/>
        <v>1.508</v>
      </c>
      <c r="AR73" s="948"/>
      <c r="AS73" s="948"/>
      <c r="AT73" s="948">
        <f t="shared" si="106"/>
        <v>304.2</v>
      </c>
      <c r="AU73" s="948">
        <f t="shared" si="107"/>
        <v>202.79999999999998</v>
      </c>
      <c r="AV73" s="948">
        <f t="shared" si="108"/>
        <v>1064.1919999999998</v>
      </c>
      <c r="AW73" s="948">
        <f t="shared" si="109"/>
        <v>1064.1919999999998</v>
      </c>
      <c r="AX73" s="948">
        <f t="shared" si="110"/>
        <v>304.2</v>
      </c>
      <c r="AY73" s="948">
        <f t="shared" si="111"/>
        <v>202.79999999999998</v>
      </c>
      <c r="AZ73" s="948">
        <f t="shared" si="112"/>
        <v>1746.2639999999999</v>
      </c>
      <c r="BA73" s="948"/>
      <c r="BB73" s="948"/>
      <c r="BC73" s="957">
        <f t="shared" si="113"/>
        <v>1.5786666666666667</v>
      </c>
      <c r="BD73" s="957">
        <f t="shared" si="113"/>
        <v>1.5786666666666667</v>
      </c>
      <c r="BE73" s="957">
        <f t="shared" si="113"/>
        <v>1.5786666666666667</v>
      </c>
      <c r="BF73" s="957">
        <f t="shared" si="113"/>
        <v>1.5786666666666667</v>
      </c>
      <c r="BG73" s="957">
        <f t="shared" si="113"/>
        <v>1.5786666666666667</v>
      </c>
      <c r="BH73" s="957">
        <f t="shared" si="113"/>
        <v>1.5786666666666667</v>
      </c>
      <c r="BI73" s="957">
        <f t="shared" si="113"/>
        <v>0.39466666666666667</v>
      </c>
      <c r="BJ73" s="957">
        <f t="shared" si="113"/>
        <v>0</v>
      </c>
      <c r="BK73" s="957">
        <f t="shared" si="113"/>
        <v>0</v>
      </c>
      <c r="BL73" s="948">
        <f t="shared" si="114"/>
        <v>480.23039999999997</v>
      </c>
      <c r="BM73" s="948">
        <f t="shared" si="114"/>
        <v>320.15359999999998</v>
      </c>
      <c r="BN73" s="948">
        <f t="shared" si="114"/>
        <v>1680.004437333333</v>
      </c>
      <c r="BO73" s="948">
        <f t="shared" si="114"/>
        <v>1680.004437333333</v>
      </c>
      <c r="BP73" s="948">
        <f t="shared" si="114"/>
        <v>480.23039999999997</v>
      </c>
      <c r="BQ73" s="948">
        <f t="shared" si="114"/>
        <v>320.15359999999998</v>
      </c>
      <c r="BR73" s="948">
        <f>AZ73*BI73</f>
        <v>689.19219199999998</v>
      </c>
      <c r="BS73" s="948">
        <f t="shared" si="115"/>
        <v>0</v>
      </c>
      <c r="BT73" s="955">
        <f t="shared" si="116"/>
        <v>356.68996632996635</v>
      </c>
    </row>
    <row r="74" spans="1:72">
      <c r="A74" s="952">
        <v>8</v>
      </c>
      <c r="B74" s="952" t="s">
        <v>1119</v>
      </c>
      <c r="C74" s="950" t="s">
        <v>1120</v>
      </c>
      <c r="D74" s="950">
        <v>1</v>
      </c>
      <c r="E74" s="950">
        <v>1</v>
      </c>
      <c r="F74" s="948">
        <v>58.8</v>
      </c>
      <c r="G74" s="948">
        <v>0.25</v>
      </c>
      <c r="H74" s="948">
        <v>0.6</v>
      </c>
      <c r="I74" s="948">
        <v>0.12</v>
      </c>
      <c r="J74" s="948">
        <f t="shared" si="94"/>
        <v>0.48</v>
      </c>
      <c r="K74" s="948">
        <f t="shared" si="121"/>
        <v>7.0559999999999992</v>
      </c>
      <c r="L74" s="948">
        <f t="shared" si="117"/>
        <v>56.447999999999993</v>
      </c>
      <c r="M74" s="952"/>
      <c r="N74" s="950">
        <v>16</v>
      </c>
      <c r="O74" s="950">
        <v>16</v>
      </c>
      <c r="P74" s="950">
        <v>16</v>
      </c>
      <c r="Q74" s="950">
        <v>16</v>
      </c>
      <c r="R74" s="950">
        <v>16</v>
      </c>
      <c r="S74" s="950">
        <v>16</v>
      </c>
      <c r="T74" s="950">
        <v>8</v>
      </c>
      <c r="U74" s="950"/>
      <c r="V74" s="950"/>
      <c r="W74" s="950">
        <v>200</v>
      </c>
      <c r="X74" s="950">
        <v>100</v>
      </c>
      <c r="Y74" s="950">
        <v>100</v>
      </c>
      <c r="Z74" s="950">
        <v>4</v>
      </c>
      <c r="AA74" s="950">
        <v>4</v>
      </c>
      <c r="AB74" s="950">
        <v>2</v>
      </c>
      <c r="AC74" s="950">
        <v>2</v>
      </c>
      <c r="AD74" s="950">
        <v>4</v>
      </c>
      <c r="AE74" s="950">
        <v>4</v>
      </c>
      <c r="AF74" s="955">
        <f t="shared" si="96"/>
        <v>74.499999999999986</v>
      </c>
      <c r="AG74" s="955">
        <f t="shared" si="97"/>
        <v>294.99999999999994</v>
      </c>
      <c r="AH74" s="955">
        <f t="shared" si="98"/>
        <v>147.99999999999997</v>
      </c>
      <c r="AI74" s="955"/>
      <c r="AJ74" s="955"/>
      <c r="AK74" s="948">
        <f t="shared" si="99"/>
        <v>15.5</v>
      </c>
      <c r="AL74" s="948">
        <f t="shared" si="100"/>
        <v>15.5</v>
      </c>
      <c r="AM74" s="948">
        <f t="shared" si="101"/>
        <v>29.911999999999999</v>
      </c>
      <c r="AN74" s="948">
        <f t="shared" si="102"/>
        <v>29.911999999999999</v>
      </c>
      <c r="AO74" s="948">
        <f t="shared" si="103"/>
        <v>15.5</v>
      </c>
      <c r="AP74" s="948">
        <f t="shared" si="104"/>
        <v>15.5</v>
      </c>
      <c r="AQ74" s="948">
        <f t="shared" si="105"/>
        <v>1.508</v>
      </c>
      <c r="AR74" s="948"/>
      <c r="AS74" s="948"/>
      <c r="AT74" s="948">
        <f t="shared" si="106"/>
        <v>62</v>
      </c>
      <c r="AU74" s="948">
        <f t="shared" si="107"/>
        <v>62</v>
      </c>
      <c r="AV74" s="948">
        <f t="shared" si="108"/>
        <v>59.823999999999998</v>
      </c>
      <c r="AW74" s="948">
        <f t="shared" si="109"/>
        <v>59.823999999999998</v>
      </c>
      <c r="AX74" s="948">
        <f t="shared" si="110"/>
        <v>62</v>
      </c>
      <c r="AY74" s="948">
        <f t="shared" si="111"/>
        <v>62</v>
      </c>
      <c r="AZ74" s="948">
        <f t="shared" si="112"/>
        <v>780.38999999999987</v>
      </c>
      <c r="BA74" s="948"/>
      <c r="BB74" s="948"/>
      <c r="BC74" s="957">
        <f t="shared" si="113"/>
        <v>1.5786666666666667</v>
      </c>
      <c r="BD74" s="957">
        <f t="shared" si="113"/>
        <v>1.5786666666666667</v>
      </c>
      <c r="BE74" s="957">
        <f t="shared" si="113"/>
        <v>1.5786666666666667</v>
      </c>
      <c r="BF74" s="957">
        <f t="shared" si="113"/>
        <v>1.5786666666666667</v>
      </c>
      <c r="BG74" s="957">
        <f t="shared" si="113"/>
        <v>1.5786666666666667</v>
      </c>
      <c r="BH74" s="957">
        <f t="shared" si="113"/>
        <v>1.5786666666666667</v>
      </c>
      <c r="BI74" s="957">
        <f t="shared" si="113"/>
        <v>0.39466666666666667</v>
      </c>
      <c r="BJ74" s="957">
        <f t="shared" si="113"/>
        <v>0</v>
      </c>
      <c r="BK74" s="957">
        <f t="shared" si="113"/>
        <v>0</v>
      </c>
      <c r="BL74" s="948">
        <f t="shared" si="114"/>
        <v>97.87733333333334</v>
      </c>
      <c r="BM74" s="948">
        <f t="shared" si="114"/>
        <v>97.87733333333334</v>
      </c>
      <c r="BN74" s="948">
        <f t="shared" si="114"/>
        <v>94.442154666666667</v>
      </c>
      <c r="BO74" s="948">
        <f t="shared" si="114"/>
        <v>94.442154666666667</v>
      </c>
      <c r="BP74" s="948">
        <f t="shared" si="114"/>
        <v>97.87733333333334</v>
      </c>
      <c r="BQ74" s="948">
        <f t="shared" si="114"/>
        <v>97.87733333333334</v>
      </c>
      <c r="BR74" s="948">
        <f t="shared" si="114"/>
        <v>307.99391999999995</v>
      </c>
      <c r="BS74" s="948">
        <f t="shared" si="115"/>
        <v>0</v>
      </c>
      <c r="BT74" s="955">
        <f t="shared" si="116"/>
        <v>125.90526681783824</v>
      </c>
    </row>
    <row r="75" spans="1:72">
      <c r="A75" s="952">
        <v>9</v>
      </c>
      <c r="B75" s="952" t="s">
        <v>1121</v>
      </c>
      <c r="C75" s="950" t="s">
        <v>1122</v>
      </c>
      <c r="D75" s="950">
        <v>1</v>
      </c>
      <c r="E75" s="950">
        <v>1</v>
      </c>
      <c r="F75" s="948">
        <v>36</v>
      </c>
      <c r="G75" s="948">
        <v>0.25</v>
      </c>
      <c r="H75" s="948">
        <v>0.6</v>
      </c>
      <c r="I75" s="948">
        <v>0.12</v>
      </c>
      <c r="J75" s="948">
        <f t="shared" si="94"/>
        <v>0.48</v>
      </c>
      <c r="K75" s="948">
        <f t="shared" si="121"/>
        <v>4.32</v>
      </c>
      <c r="L75" s="948">
        <f t="shared" si="117"/>
        <v>34.56</v>
      </c>
      <c r="M75" s="952"/>
      <c r="N75" s="950">
        <v>16</v>
      </c>
      <c r="O75" s="950">
        <v>16</v>
      </c>
      <c r="P75" s="950">
        <v>16</v>
      </c>
      <c r="Q75" s="950">
        <v>16</v>
      </c>
      <c r="R75" s="950">
        <v>16</v>
      </c>
      <c r="S75" s="950">
        <v>16</v>
      </c>
      <c r="T75" s="950">
        <v>8</v>
      </c>
      <c r="U75" s="950"/>
      <c r="V75" s="950"/>
      <c r="W75" s="950">
        <v>200</v>
      </c>
      <c r="X75" s="950">
        <v>100</v>
      </c>
      <c r="Y75" s="950">
        <v>100</v>
      </c>
      <c r="Z75" s="950">
        <v>10</v>
      </c>
      <c r="AA75" s="950">
        <v>10</v>
      </c>
      <c r="AB75" s="950">
        <v>10</v>
      </c>
      <c r="AC75" s="950">
        <v>10</v>
      </c>
      <c r="AD75" s="950">
        <v>10</v>
      </c>
      <c r="AE75" s="950">
        <v>10</v>
      </c>
      <c r="AF75" s="955">
        <f t="shared" si="96"/>
        <v>46</v>
      </c>
      <c r="AG75" s="955">
        <f t="shared" si="97"/>
        <v>181</v>
      </c>
      <c r="AH75" s="955">
        <f t="shared" si="98"/>
        <v>91</v>
      </c>
      <c r="AI75" s="955"/>
      <c r="AJ75" s="955"/>
      <c r="AK75" s="948">
        <f t="shared" si="99"/>
        <v>9.8000000000000007</v>
      </c>
      <c r="AL75" s="948">
        <f t="shared" si="100"/>
        <v>9.8000000000000007</v>
      </c>
      <c r="AM75" s="948">
        <f t="shared" si="101"/>
        <v>18.512</v>
      </c>
      <c r="AN75" s="948">
        <f t="shared" si="102"/>
        <v>18.512</v>
      </c>
      <c r="AO75" s="948">
        <f t="shared" si="103"/>
        <v>9.8000000000000007</v>
      </c>
      <c r="AP75" s="948">
        <f t="shared" si="104"/>
        <v>9.8000000000000007</v>
      </c>
      <c r="AQ75" s="948">
        <f t="shared" si="105"/>
        <v>1.508</v>
      </c>
      <c r="AR75" s="948"/>
      <c r="AS75" s="948"/>
      <c r="AT75" s="948">
        <f t="shared" si="106"/>
        <v>98</v>
      </c>
      <c r="AU75" s="948">
        <f t="shared" si="107"/>
        <v>98</v>
      </c>
      <c r="AV75" s="948">
        <f t="shared" si="108"/>
        <v>185.12</v>
      </c>
      <c r="AW75" s="948">
        <f t="shared" si="109"/>
        <v>185.12</v>
      </c>
      <c r="AX75" s="948">
        <f t="shared" si="110"/>
        <v>98</v>
      </c>
      <c r="AY75" s="948">
        <f t="shared" si="111"/>
        <v>98</v>
      </c>
      <c r="AZ75" s="948">
        <f t="shared" si="112"/>
        <v>479.54399999999998</v>
      </c>
      <c r="BA75" s="948"/>
      <c r="BB75" s="948"/>
      <c r="BC75" s="957">
        <f t="shared" si="113"/>
        <v>1.5786666666666667</v>
      </c>
      <c r="BD75" s="957">
        <f t="shared" si="113"/>
        <v>1.5786666666666667</v>
      </c>
      <c r="BE75" s="957">
        <f t="shared" si="113"/>
        <v>1.5786666666666667</v>
      </c>
      <c r="BF75" s="957">
        <f t="shared" si="113"/>
        <v>1.5786666666666667</v>
      </c>
      <c r="BG75" s="957">
        <f t="shared" si="113"/>
        <v>1.5786666666666667</v>
      </c>
      <c r="BH75" s="957">
        <f t="shared" si="113"/>
        <v>1.5786666666666667</v>
      </c>
      <c r="BI75" s="957">
        <f t="shared" si="113"/>
        <v>0.39466666666666667</v>
      </c>
      <c r="BJ75" s="957">
        <f t="shared" si="113"/>
        <v>0</v>
      </c>
      <c r="BK75" s="957">
        <f t="shared" si="113"/>
        <v>0</v>
      </c>
      <c r="BL75" s="948">
        <f t="shared" si="114"/>
        <v>154.70933333333332</v>
      </c>
      <c r="BM75" s="948">
        <f t="shared" si="114"/>
        <v>154.70933333333332</v>
      </c>
      <c r="BN75" s="948">
        <f t="shared" si="114"/>
        <v>292.24277333333333</v>
      </c>
      <c r="BO75" s="948">
        <f t="shared" si="114"/>
        <v>292.24277333333333</v>
      </c>
      <c r="BP75" s="948">
        <f t="shared" si="114"/>
        <v>154.70933333333332</v>
      </c>
      <c r="BQ75" s="948">
        <f t="shared" si="114"/>
        <v>154.70933333333332</v>
      </c>
      <c r="BR75" s="948">
        <f t="shared" si="114"/>
        <v>189.260032</v>
      </c>
      <c r="BS75" s="948">
        <f t="shared" si="115"/>
        <v>0</v>
      </c>
      <c r="BT75" s="955">
        <f t="shared" si="116"/>
        <v>322.35715555555544</v>
      </c>
    </row>
    <row r="76" spans="1:72">
      <c r="A76" s="952">
        <v>10</v>
      </c>
      <c r="B76" s="952" t="s">
        <v>1087</v>
      </c>
      <c r="C76" s="950" t="s">
        <v>1123</v>
      </c>
      <c r="D76" s="950">
        <v>1</v>
      </c>
      <c r="E76" s="950">
        <v>1</v>
      </c>
      <c r="F76" s="948">
        <v>40</v>
      </c>
      <c r="G76" s="948">
        <v>0.25</v>
      </c>
      <c r="H76" s="948">
        <v>0.6</v>
      </c>
      <c r="I76" s="948">
        <v>0.12</v>
      </c>
      <c r="J76" s="948">
        <f t="shared" si="94"/>
        <v>0.48</v>
      </c>
      <c r="K76" s="948">
        <f t="shared" si="121"/>
        <v>4.8</v>
      </c>
      <c r="L76" s="948">
        <f t="shared" si="117"/>
        <v>38.4</v>
      </c>
      <c r="M76" s="952"/>
      <c r="N76" s="950">
        <v>16</v>
      </c>
      <c r="O76" s="950">
        <v>16</v>
      </c>
      <c r="P76" s="950">
        <v>16</v>
      </c>
      <c r="Q76" s="950">
        <v>16</v>
      </c>
      <c r="R76" s="950">
        <v>16</v>
      </c>
      <c r="S76" s="950">
        <v>16</v>
      </c>
      <c r="T76" s="950">
        <v>8</v>
      </c>
      <c r="U76" s="950"/>
      <c r="V76" s="950"/>
      <c r="W76" s="950">
        <v>200</v>
      </c>
      <c r="X76" s="950">
        <v>100</v>
      </c>
      <c r="Y76" s="950">
        <v>100</v>
      </c>
      <c r="Z76" s="950">
        <v>9</v>
      </c>
      <c r="AA76" s="950">
        <v>6</v>
      </c>
      <c r="AB76" s="950">
        <v>8</v>
      </c>
      <c r="AC76" s="950">
        <v>8</v>
      </c>
      <c r="AD76" s="950">
        <v>9</v>
      </c>
      <c r="AE76" s="950">
        <v>6</v>
      </c>
      <c r="AF76" s="955">
        <f t="shared" si="96"/>
        <v>51</v>
      </c>
      <c r="AG76" s="955">
        <f t="shared" si="97"/>
        <v>201</v>
      </c>
      <c r="AH76" s="955">
        <f t="shared" si="98"/>
        <v>101</v>
      </c>
      <c r="AI76" s="955"/>
      <c r="AJ76" s="955"/>
      <c r="AK76" s="948">
        <f t="shared" si="99"/>
        <v>10.8</v>
      </c>
      <c r="AL76" s="948">
        <f t="shared" si="100"/>
        <v>10.8</v>
      </c>
      <c r="AM76" s="948">
        <f t="shared" si="101"/>
        <v>20.512</v>
      </c>
      <c r="AN76" s="948">
        <f t="shared" si="102"/>
        <v>20.512</v>
      </c>
      <c r="AO76" s="948">
        <f t="shared" si="103"/>
        <v>10.8</v>
      </c>
      <c r="AP76" s="948">
        <f t="shared" si="104"/>
        <v>10.8</v>
      </c>
      <c r="AQ76" s="948">
        <f t="shared" si="105"/>
        <v>1.508</v>
      </c>
      <c r="AR76" s="948"/>
      <c r="AS76" s="948"/>
      <c r="AT76" s="948">
        <f t="shared" si="106"/>
        <v>97.2</v>
      </c>
      <c r="AU76" s="948">
        <f t="shared" si="107"/>
        <v>64.800000000000011</v>
      </c>
      <c r="AV76" s="948">
        <f t="shared" si="108"/>
        <v>164.096</v>
      </c>
      <c r="AW76" s="948">
        <f t="shared" si="109"/>
        <v>164.096</v>
      </c>
      <c r="AX76" s="948">
        <f t="shared" si="110"/>
        <v>97.2</v>
      </c>
      <c r="AY76" s="948">
        <f t="shared" si="111"/>
        <v>64.800000000000011</v>
      </c>
      <c r="AZ76" s="948">
        <f t="shared" si="112"/>
        <v>532.32399999999996</v>
      </c>
      <c r="BA76" s="948"/>
      <c r="BB76" s="948"/>
      <c r="BC76" s="957">
        <f t="shared" si="113"/>
        <v>1.5786666666666667</v>
      </c>
      <c r="BD76" s="957">
        <f t="shared" si="113"/>
        <v>1.5786666666666667</v>
      </c>
      <c r="BE76" s="957">
        <f t="shared" si="113"/>
        <v>1.5786666666666667</v>
      </c>
      <c r="BF76" s="957">
        <f t="shared" si="113"/>
        <v>1.5786666666666667</v>
      </c>
      <c r="BG76" s="957">
        <f t="shared" si="113"/>
        <v>1.5786666666666667</v>
      </c>
      <c r="BH76" s="957">
        <f t="shared" si="113"/>
        <v>1.5786666666666667</v>
      </c>
      <c r="BI76" s="957">
        <f t="shared" si="113"/>
        <v>0.39466666666666667</v>
      </c>
      <c r="BJ76" s="957">
        <f t="shared" si="113"/>
        <v>0</v>
      </c>
      <c r="BK76" s="957">
        <f t="shared" si="113"/>
        <v>0</v>
      </c>
      <c r="BL76" s="948">
        <f t="shared" si="114"/>
        <v>153.44640000000001</v>
      </c>
      <c r="BM76" s="948">
        <f t="shared" si="114"/>
        <v>102.29760000000002</v>
      </c>
      <c r="BN76" s="948">
        <f t="shared" si="114"/>
        <v>259.05288533333334</v>
      </c>
      <c r="BO76" s="948">
        <f t="shared" si="114"/>
        <v>259.05288533333334</v>
      </c>
      <c r="BP76" s="948">
        <f t="shared" si="114"/>
        <v>153.44640000000001</v>
      </c>
      <c r="BQ76" s="948">
        <f t="shared" si="114"/>
        <v>102.29760000000002</v>
      </c>
      <c r="BR76" s="948">
        <f t="shared" si="114"/>
        <v>210.09053866666665</v>
      </c>
      <c r="BS76" s="948">
        <f t="shared" si="115"/>
        <v>0</v>
      </c>
      <c r="BT76" s="955">
        <f t="shared" si="116"/>
        <v>258.26756444444447</v>
      </c>
    </row>
    <row r="77" spans="1:72">
      <c r="A77" s="952">
        <v>11</v>
      </c>
      <c r="B77" s="952" t="s">
        <v>1124</v>
      </c>
      <c r="C77" s="950" t="s">
        <v>1125</v>
      </c>
      <c r="D77" s="950">
        <v>1</v>
      </c>
      <c r="E77" s="950">
        <v>1</v>
      </c>
      <c r="F77" s="948">
        <v>24</v>
      </c>
      <c r="G77" s="948">
        <v>0.3</v>
      </c>
      <c r="H77" s="948">
        <v>0.65</v>
      </c>
      <c r="I77" s="948">
        <v>0.12</v>
      </c>
      <c r="J77" s="948">
        <f t="shared" si="94"/>
        <v>0.53</v>
      </c>
      <c r="K77" s="948">
        <f t="shared" si="121"/>
        <v>3.8159999999999998</v>
      </c>
      <c r="L77" s="948">
        <f t="shared" si="117"/>
        <v>25.44</v>
      </c>
      <c r="M77" s="952"/>
      <c r="N77" s="950">
        <f t="shared" ref="N77:S78" si="122">N73</f>
        <v>16</v>
      </c>
      <c r="O77" s="950">
        <f t="shared" si="122"/>
        <v>16</v>
      </c>
      <c r="P77" s="950">
        <f t="shared" si="122"/>
        <v>16</v>
      </c>
      <c r="Q77" s="950">
        <f t="shared" si="122"/>
        <v>16</v>
      </c>
      <c r="R77" s="950">
        <f t="shared" si="122"/>
        <v>16</v>
      </c>
      <c r="S77" s="950">
        <f t="shared" si="122"/>
        <v>16</v>
      </c>
      <c r="T77" s="950">
        <v>8</v>
      </c>
      <c r="U77" s="950"/>
      <c r="V77" s="950"/>
      <c r="W77" s="950">
        <v>200</v>
      </c>
      <c r="X77" s="950">
        <v>100</v>
      </c>
      <c r="Y77" s="950">
        <f t="shared" ref="Y77:Y78" si="123">Y73</f>
        <v>100</v>
      </c>
      <c r="Z77" s="950">
        <v>4</v>
      </c>
      <c r="AA77" s="950">
        <v>4</v>
      </c>
      <c r="AB77" s="950">
        <v>2</v>
      </c>
      <c r="AC77" s="950">
        <v>2</v>
      </c>
      <c r="AD77" s="950">
        <v>4</v>
      </c>
      <c r="AE77" s="950">
        <v>4</v>
      </c>
      <c r="AF77" s="955">
        <f t="shared" si="96"/>
        <v>31</v>
      </c>
      <c r="AG77" s="955">
        <f t="shared" si="97"/>
        <v>121</v>
      </c>
      <c r="AH77" s="955">
        <f t="shared" si="98"/>
        <v>61</v>
      </c>
      <c r="AI77" s="955"/>
      <c r="AJ77" s="955"/>
      <c r="AK77" s="948">
        <f t="shared" si="99"/>
        <v>6.8000000000000007</v>
      </c>
      <c r="AL77" s="948">
        <f t="shared" si="100"/>
        <v>6.8000000000000007</v>
      </c>
      <c r="AM77" s="948">
        <f t="shared" si="101"/>
        <v>12.512</v>
      </c>
      <c r="AN77" s="948">
        <f t="shared" si="102"/>
        <v>12.512</v>
      </c>
      <c r="AO77" s="948">
        <f t="shared" si="103"/>
        <v>6.8000000000000007</v>
      </c>
      <c r="AP77" s="948">
        <f t="shared" si="104"/>
        <v>6.8000000000000007</v>
      </c>
      <c r="AQ77" s="948">
        <f t="shared" si="105"/>
        <v>1.708</v>
      </c>
      <c r="AR77" s="948"/>
      <c r="AS77" s="948"/>
      <c r="AT77" s="948">
        <f t="shared" si="106"/>
        <v>27.200000000000003</v>
      </c>
      <c r="AU77" s="948">
        <f t="shared" si="107"/>
        <v>27.200000000000003</v>
      </c>
      <c r="AV77" s="948">
        <f t="shared" si="108"/>
        <v>25.024000000000001</v>
      </c>
      <c r="AW77" s="948">
        <f t="shared" si="109"/>
        <v>25.024000000000001</v>
      </c>
      <c r="AX77" s="948">
        <f t="shared" si="110"/>
        <v>27.200000000000003</v>
      </c>
      <c r="AY77" s="948">
        <f t="shared" si="111"/>
        <v>27.200000000000003</v>
      </c>
      <c r="AZ77" s="948">
        <f t="shared" si="112"/>
        <v>363.80399999999997</v>
      </c>
      <c r="BA77" s="948"/>
      <c r="BB77" s="948"/>
      <c r="BC77" s="957">
        <f t="shared" si="113"/>
        <v>1.5786666666666667</v>
      </c>
      <c r="BD77" s="957">
        <f t="shared" si="113"/>
        <v>1.5786666666666667</v>
      </c>
      <c r="BE77" s="957">
        <f t="shared" si="113"/>
        <v>1.5786666666666667</v>
      </c>
      <c r="BF77" s="957">
        <f t="shared" si="113"/>
        <v>1.5786666666666667</v>
      </c>
      <c r="BG77" s="957">
        <f t="shared" si="113"/>
        <v>1.5786666666666667</v>
      </c>
      <c r="BH77" s="957">
        <f t="shared" si="113"/>
        <v>1.5786666666666667</v>
      </c>
      <c r="BI77" s="957">
        <f t="shared" si="113"/>
        <v>0.39466666666666667</v>
      </c>
      <c r="BJ77" s="957">
        <f t="shared" si="113"/>
        <v>0</v>
      </c>
      <c r="BK77" s="957">
        <f t="shared" si="113"/>
        <v>0</v>
      </c>
      <c r="BL77" s="948">
        <f t="shared" si="114"/>
        <v>42.939733333333336</v>
      </c>
      <c r="BM77" s="948">
        <f t="shared" si="114"/>
        <v>42.939733333333336</v>
      </c>
      <c r="BN77" s="948">
        <f t="shared" si="114"/>
        <v>39.504554666666671</v>
      </c>
      <c r="BO77" s="948">
        <f t="shared" si="114"/>
        <v>39.504554666666671</v>
      </c>
      <c r="BP77" s="948">
        <f t="shared" si="114"/>
        <v>42.939733333333336</v>
      </c>
      <c r="BQ77" s="948">
        <f t="shared" si="114"/>
        <v>42.939733333333336</v>
      </c>
      <c r="BR77" s="948">
        <f t="shared" si="114"/>
        <v>143.581312</v>
      </c>
      <c r="BS77" s="948">
        <f t="shared" si="115"/>
        <v>0</v>
      </c>
      <c r="BT77" s="955">
        <f t="shared" si="116"/>
        <v>103.34102585604474</v>
      </c>
    </row>
    <row r="78" spans="1:72">
      <c r="A78" s="952">
        <v>12</v>
      </c>
      <c r="B78" s="952" t="s">
        <v>1126</v>
      </c>
      <c r="C78" s="950" t="s">
        <v>1127</v>
      </c>
      <c r="D78" s="950">
        <v>1</v>
      </c>
      <c r="E78" s="950">
        <v>1</v>
      </c>
      <c r="F78" s="948">
        <v>16</v>
      </c>
      <c r="G78" s="948">
        <v>0.3</v>
      </c>
      <c r="H78" s="948">
        <v>0.65</v>
      </c>
      <c r="I78" s="948">
        <v>0.12</v>
      </c>
      <c r="J78" s="948">
        <f t="shared" si="94"/>
        <v>0.53</v>
      </c>
      <c r="K78" s="948">
        <f t="shared" si="121"/>
        <v>2.544</v>
      </c>
      <c r="L78" s="948">
        <f t="shared" si="117"/>
        <v>16.96</v>
      </c>
      <c r="M78" s="952"/>
      <c r="N78" s="950">
        <f t="shared" si="122"/>
        <v>16</v>
      </c>
      <c r="O78" s="950">
        <f t="shared" si="122"/>
        <v>16</v>
      </c>
      <c r="P78" s="950">
        <f t="shared" si="122"/>
        <v>16</v>
      </c>
      <c r="Q78" s="950">
        <f t="shared" si="122"/>
        <v>16</v>
      </c>
      <c r="R78" s="950">
        <f t="shared" si="122"/>
        <v>16</v>
      </c>
      <c r="S78" s="950">
        <f t="shared" si="122"/>
        <v>16</v>
      </c>
      <c r="T78" s="950">
        <v>8</v>
      </c>
      <c r="U78" s="950"/>
      <c r="V78" s="950"/>
      <c r="W78" s="950">
        <v>200</v>
      </c>
      <c r="X78" s="950">
        <v>100</v>
      </c>
      <c r="Y78" s="950">
        <f t="shared" si="123"/>
        <v>100</v>
      </c>
      <c r="Z78" s="950">
        <v>4</v>
      </c>
      <c r="AA78" s="950">
        <v>4</v>
      </c>
      <c r="AB78" s="950">
        <v>2</v>
      </c>
      <c r="AC78" s="950">
        <v>2</v>
      </c>
      <c r="AD78" s="950">
        <v>4</v>
      </c>
      <c r="AE78" s="950">
        <v>4</v>
      </c>
      <c r="AF78" s="955">
        <f t="shared" si="96"/>
        <v>21</v>
      </c>
      <c r="AG78" s="955">
        <f t="shared" si="97"/>
        <v>81</v>
      </c>
      <c r="AH78" s="955">
        <f t="shared" si="98"/>
        <v>41</v>
      </c>
      <c r="AI78" s="955"/>
      <c r="AJ78" s="955"/>
      <c r="AK78" s="948">
        <f t="shared" si="99"/>
        <v>4.8000000000000007</v>
      </c>
      <c r="AL78" s="948">
        <f t="shared" si="100"/>
        <v>4.8000000000000007</v>
      </c>
      <c r="AM78" s="948">
        <f t="shared" si="101"/>
        <v>8.5120000000000005</v>
      </c>
      <c r="AN78" s="948">
        <f t="shared" si="102"/>
        <v>8.5120000000000005</v>
      </c>
      <c r="AO78" s="948">
        <f t="shared" si="103"/>
        <v>4.8000000000000007</v>
      </c>
      <c r="AP78" s="948">
        <f t="shared" si="104"/>
        <v>4.8000000000000007</v>
      </c>
      <c r="AQ78" s="948">
        <f t="shared" si="105"/>
        <v>1.708</v>
      </c>
      <c r="AR78" s="948"/>
      <c r="AS78" s="948"/>
      <c r="AT78" s="948">
        <f t="shared" si="106"/>
        <v>19.200000000000003</v>
      </c>
      <c r="AU78" s="948">
        <f t="shared" si="107"/>
        <v>19.200000000000003</v>
      </c>
      <c r="AV78" s="948">
        <f t="shared" si="108"/>
        <v>17.024000000000001</v>
      </c>
      <c r="AW78" s="948">
        <f t="shared" si="109"/>
        <v>17.024000000000001</v>
      </c>
      <c r="AX78" s="948">
        <f t="shared" si="110"/>
        <v>19.200000000000003</v>
      </c>
      <c r="AY78" s="948">
        <f t="shared" si="111"/>
        <v>19.200000000000003</v>
      </c>
      <c r="AZ78" s="948">
        <f t="shared" si="112"/>
        <v>244.244</v>
      </c>
      <c r="BA78" s="948"/>
      <c r="BB78" s="948"/>
      <c r="BC78" s="957">
        <f t="shared" si="113"/>
        <v>1.5786666666666667</v>
      </c>
      <c r="BD78" s="957">
        <f t="shared" si="113"/>
        <v>1.5786666666666667</v>
      </c>
      <c r="BE78" s="957">
        <f t="shared" si="113"/>
        <v>1.5786666666666667</v>
      </c>
      <c r="BF78" s="957">
        <f t="shared" si="113"/>
        <v>1.5786666666666667</v>
      </c>
      <c r="BG78" s="957">
        <f t="shared" si="113"/>
        <v>1.5786666666666667</v>
      </c>
      <c r="BH78" s="957">
        <f t="shared" si="113"/>
        <v>1.5786666666666667</v>
      </c>
      <c r="BI78" s="957">
        <f t="shared" si="113"/>
        <v>0.39466666666666667</v>
      </c>
      <c r="BJ78" s="957">
        <f t="shared" si="113"/>
        <v>0</v>
      </c>
      <c r="BK78" s="957">
        <f t="shared" si="113"/>
        <v>0</v>
      </c>
      <c r="BL78" s="948">
        <f t="shared" si="114"/>
        <v>30.310400000000005</v>
      </c>
      <c r="BM78" s="948">
        <f t="shared" si="114"/>
        <v>30.310400000000005</v>
      </c>
      <c r="BN78" s="948">
        <f t="shared" si="114"/>
        <v>26.875221333333336</v>
      </c>
      <c r="BO78" s="948">
        <f t="shared" si="114"/>
        <v>26.875221333333336</v>
      </c>
      <c r="BP78" s="948">
        <f t="shared" si="114"/>
        <v>30.310400000000005</v>
      </c>
      <c r="BQ78" s="948">
        <f t="shared" si="114"/>
        <v>30.310400000000005</v>
      </c>
      <c r="BR78" s="948">
        <f t="shared" si="114"/>
        <v>96.394965333333332</v>
      </c>
      <c r="BS78" s="948">
        <f t="shared" si="115"/>
        <v>0</v>
      </c>
      <c r="BT78" s="955">
        <f t="shared" si="116"/>
        <v>106.67728301886794</v>
      </c>
    </row>
    <row r="79" spans="1:72">
      <c r="A79" s="952">
        <v>13</v>
      </c>
      <c r="B79" s="952" t="s">
        <v>1128</v>
      </c>
      <c r="C79" s="950" t="s">
        <v>1129</v>
      </c>
      <c r="D79" s="950">
        <v>1</v>
      </c>
      <c r="E79" s="950">
        <v>1</v>
      </c>
      <c r="F79" s="948">
        <v>25.2</v>
      </c>
      <c r="G79" s="948">
        <v>0.3</v>
      </c>
      <c r="H79" s="948">
        <v>0.65</v>
      </c>
      <c r="I79" s="948">
        <v>0.12</v>
      </c>
      <c r="J79" s="948">
        <f t="shared" si="94"/>
        <v>0.53</v>
      </c>
      <c r="K79" s="948">
        <f t="shared" si="121"/>
        <v>4.0068000000000001</v>
      </c>
      <c r="L79" s="948">
        <f t="shared" si="117"/>
        <v>26.712</v>
      </c>
      <c r="M79" s="952"/>
      <c r="N79" s="950">
        <f t="shared" ref="N79:S79" si="124">N74</f>
        <v>16</v>
      </c>
      <c r="O79" s="950">
        <f t="shared" si="124"/>
        <v>16</v>
      </c>
      <c r="P79" s="950">
        <f t="shared" si="124"/>
        <v>16</v>
      </c>
      <c r="Q79" s="950">
        <f t="shared" si="124"/>
        <v>16</v>
      </c>
      <c r="R79" s="950">
        <f t="shared" si="124"/>
        <v>16</v>
      </c>
      <c r="S79" s="950">
        <f t="shared" si="124"/>
        <v>16</v>
      </c>
      <c r="T79" s="950">
        <v>8</v>
      </c>
      <c r="U79" s="950"/>
      <c r="V79" s="950"/>
      <c r="W79" s="950">
        <v>200</v>
      </c>
      <c r="X79" s="950">
        <v>100</v>
      </c>
      <c r="Y79" s="950">
        <f t="shared" ref="Y79" si="125">X79</f>
        <v>100</v>
      </c>
      <c r="Z79" s="950">
        <v>9</v>
      </c>
      <c r="AA79" s="950">
        <v>6</v>
      </c>
      <c r="AB79" s="950">
        <v>16</v>
      </c>
      <c r="AC79" s="950">
        <v>16</v>
      </c>
      <c r="AD79" s="950">
        <v>9</v>
      </c>
      <c r="AE79" s="950">
        <v>6</v>
      </c>
      <c r="AF79" s="955">
        <f t="shared" si="96"/>
        <v>32.5</v>
      </c>
      <c r="AG79" s="955">
        <f t="shared" si="97"/>
        <v>126.99999999999999</v>
      </c>
      <c r="AH79" s="955">
        <f t="shared" si="98"/>
        <v>63.999999999999993</v>
      </c>
      <c r="AI79" s="955"/>
      <c r="AJ79" s="955"/>
      <c r="AK79" s="948">
        <f t="shared" si="99"/>
        <v>7.1000000000000005</v>
      </c>
      <c r="AL79" s="948">
        <f t="shared" si="100"/>
        <v>7.1000000000000005</v>
      </c>
      <c r="AM79" s="948">
        <f t="shared" si="101"/>
        <v>13.112</v>
      </c>
      <c r="AN79" s="948">
        <f t="shared" si="102"/>
        <v>13.112</v>
      </c>
      <c r="AO79" s="948">
        <f t="shared" si="103"/>
        <v>7.1000000000000005</v>
      </c>
      <c r="AP79" s="948">
        <f t="shared" si="104"/>
        <v>7.1000000000000005</v>
      </c>
      <c r="AQ79" s="948">
        <f t="shared" si="105"/>
        <v>1.708</v>
      </c>
      <c r="AR79" s="948"/>
      <c r="AS79" s="948"/>
      <c r="AT79" s="948">
        <f t="shared" si="106"/>
        <v>63.900000000000006</v>
      </c>
      <c r="AU79" s="948">
        <f t="shared" si="107"/>
        <v>42.6</v>
      </c>
      <c r="AV79" s="948">
        <f t="shared" si="108"/>
        <v>209.792</v>
      </c>
      <c r="AW79" s="948">
        <f t="shared" si="109"/>
        <v>209.792</v>
      </c>
      <c r="AX79" s="948">
        <f t="shared" si="110"/>
        <v>63.900000000000006</v>
      </c>
      <c r="AY79" s="948">
        <f t="shared" si="111"/>
        <v>42.6</v>
      </c>
      <c r="AZ79" s="948">
        <f t="shared" si="112"/>
        <v>381.738</v>
      </c>
      <c r="BA79" s="948"/>
      <c r="BB79" s="948"/>
      <c r="BC79" s="957">
        <f t="shared" si="113"/>
        <v>1.5786666666666667</v>
      </c>
      <c r="BD79" s="957">
        <f t="shared" si="113"/>
        <v>1.5786666666666667</v>
      </c>
      <c r="BE79" s="957">
        <f t="shared" si="113"/>
        <v>1.5786666666666667</v>
      </c>
      <c r="BF79" s="957">
        <f t="shared" si="113"/>
        <v>1.5786666666666667</v>
      </c>
      <c r="BG79" s="957">
        <f t="shared" si="113"/>
        <v>1.5786666666666667</v>
      </c>
      <c r="BH79" s="957">
        <f t="shared" si="113"/>
        <v>1.5786666666666667</v>
      </c>
      <c r="BI79" s="957">
        <f t="shared" si="113"/>
        <v>0.39466666666666667</v>
      </c>
      <c r="BJ79" s="957">
        <f t="shared" si="113"/>
        <v>0</v>
      </c>
      <c r="BK79" s="957">
        <f t="shared" si="113"/>
        <v>0</v>
      </c>
      <c r="BL79" s="948">
        <f t="shared" si="114"/>
        <v>100.8768</v>
      </c>
      <c r="BM79" s="948">
        <f t="shared" si="114"/>
        <v>67.251199999999997</v>
      </c>
      <c r="BN79" s="948">
        <f t="shared" si="114"/>
        <v>331.19163733333335</v>
      </c>
      <c r="BO79" s="948">
        <f t="shared" si="114"/>
        <v>331.19163733333335</v>
      </c>
      <c r="BP79" s="948">
        <f t="shared" si="114"/>
        <v>100.8768</v>
      </c>
      <c r="BQ79" s="948">
        <f t="shared" si="114"/>
        <v>67.251199999999997</v>
      </c>
      <c r="BR79" s="948">
        <f t="shared" si="114"/>
        <v>150.65926400000001</v>
      </c>
      <c r="BS79" s="948">
        <f t="shared" si="115"/>
        <v>0</v>
      </c>
      <c r="BT79" s="955">
        <f t="shared" si="116"/>
        <v>286.83701174669727</v>
      </c>
    </row>
    <row r="80" spans="1:72">
      <c r="A80" s="960"/>
      <c r="B80" s="960"/>
      <c r="C80" s="950"/>
      <c r="D80" s="950"/>
      <c r="E80" s="950"/>
      <c r="F80" s="948"/>
      <c r="G80" s="948"/>
      <c r="H80" s="948"/>
      <c r="I80" s="948"/>
      <c r="J80" s="948"/>
      <c r="K80" s="948">
        <f>SUM(K54:K79)</f>
        <v>300.99719999999991</v>
      </c>
      <c r="L80" s="948">
        <f>SUM(L54:L79)</f>
        <v>2202.5520000000001</v>
      </c>
      <c r="M80" s="952"/>
      <c r="N80" s="959"/>
      <c r="O80" s="959"/>
      <c r="P80" s="950"/>
      <c r="Q80" s="950"/>
      <c r="R80" s="950"/>
      <c r="S80" s="950"/>
      <c r="T80" s="950"/>
      <c r="U80" s="950"/>
      <c r="V80" s="950"/>
      <c r="W80" s="950"/>
      <c r="X80" s="950"/>
      <c r="Y80" s="950"/>
      <c r="Z80" s="950"/>
      <c r="AA80" s="950"/>
      <c r="AB80" s="950"/>
      <c r="AC80" s="950"/>
      <c r="AD80" s="950"/>
      <c r="AE80" s="950"/>
      <c r="AF80" s="955"/>
      <c r="AG80" s="955"/>
      <c r="AH80" s="955"/>
      <c r="AI80" s="955"/>
      <c r="AJ80" s="955"/>
      <c r="AK80" s="948"/>
      <c r="AL80" s="948"/>
      <c r="AM80" s="948"/>
      <c r="AN80" s="948"/>
      <c r="AO80" s="948"/>
      <c r="AP80" s="948"/>
      <c r="AQ80" s="948"/>
      <c r="AR80" s="948"/>
      <c r="AS80" s="948"/>
      <c r="AT80" s="948"/>
      <c r="AU80" s="948"/>
      <c r="AV80" s="948"/>
      <c r="AW80" s="948"/>
      <c r="AX80" s="948"/>
      <c r="AY80" s="948"/>
      <c r="AZ80" s="948"/>
      <c r="BA80" s="948"/>
      <c r="BB80" s="948"/>
      <c r="BC80" s="957"/>
      <c r="BD80" s="957"/>
      <c r="BE80" s="957"/>
      <c r="BF80" s="957"/>
      <c r="BG80" s="957"/>
      <c r="BH80" s="957"/>
      <c r="BI80" s="957"/>
      <c r="BJ80" s="957"/>
      <c r="BK80" s="957"/>
      <c r="BL80" s="948"/>
      <c r="BM80" s="948"/>
      <c r="BN80" s="948"/>
      <c r="BO80" s="948"/>
      <c r="BP80" s="948"/>
      <c r="BQ80" s="948"/>
      <c r="BR80" s="948"/>
      <c r="BS80" s="948"/>
      <c r="BT80" s="955"/>
    </row>
    <row r="81" spans="1:72">
      <c r="A81" s="960"/>
      <c r="B81" s="960"/>
      <c r="C81" s="950"/>
      <c r="D81" s="950"/>
      <c r="E81" s="950"/>
      <c r="F81" s="948"/>
      <c r="G81" s="948"/>
      <c r="H81" s="948"/>
      <c r="I81" s="948"/>
      <c r="J81" s="948"/>
      <c r="K81" s="948"/>
      <c r="L81" s="948"/>
      <c r="M81" s="952"/>
      <c r="N81" s="959"/>
      <c r="O81" s="959"/>
      <c r="P81" s="950"/>
      <c r="Q81" s="950"/>
      <c r="R81" s="950"/>
      <c r="S81" s="950"/>
      <c r="T81" s="950"/>
      <c r="U81" s="950"/>
      <c r="V81" s="950"/>
      <c r="W81" s="950"/>
      <c r="X81" s="950"/>
      <c r="Y81" s="950"/>
      <c r="Z81" s="950"/>
      <c r="AA81" s="950"/>
      <c r="AB81" s="950"/>
      <c r="AC81" s="950"/>
      <c r="AD81" s="950"/>
      <c r="AE81" s="950"/>
      <c r="AF81" s="955"/>
      <c r="AG81" s="955"/>
      <c r="AH81" s="955"/>
      <c r="AI81" s="955"/>
      <c r="AJ81" s="955"/>
      <c r="AK81" s="948"/>
      <c r="AL81" s="948"/>
      <c r="AM81" s="948"/>
      <c r="AN81" s="948"/>
      <c r="AO81" s="948"/>
      <c r="AP81" s="948"/>
      <c r="AQ81" s="948"/>
      <c r="AR81" s="948"/>
      <c r="AS81" s="948"/>
      <c r="AT81" s="948"/>
      <c r="AU81" s="948"/>
      <c r="AV81" s="948"/>
      <c r="AW81" s="948"/>
      <c r="AX81" s="948"/>
      <c r="AY81" s="948"/>
      <c r="AZ81" s="948"/>
      <c r="BA81" s="948"/>
      <c r="BB81" s="948"/>
      <c r="BC81" s="957"/>
      <c r="BD81" s="957"/>
      <c r="BE81" s="957"/>
      <c r="BF81" s="957"/>
      <c r="BG81" s="957"/>
      <c r="BH81" s="957"/>
      <c r="BI81" s="957"/>
      <c r="BJ81" s="957"/>
      <c r="BK81" s="957"/>
      <c r="BL81" s="948"/>
      <c r="BM81" s="948"/>
      <c r="BN81" s="948"/>
      <c r="BO81" s="948"/>
      <c r="BP81" s="948"/>
      <c r="BQ81" s="948"/>
      <c r="BR81" s="948"/>
      <c r="BS81" s="948"/>
      <c r="BT81" s="955"/>
    </row>
    <row r="82" spans="1:72">
      <c r="A82" s="949" t="s">
        <v>66</v>
      </c>
      <c r="B82" s="949" t="s">
        <v>1050</v>
      </c>
      <c r="C82" s="949" t="s">
        <v>983</v>
      </c>
      <c r="D82" s="950" t="s">
        <v>1051</v>
      </c>
      <c r="E82" s="950" t="s">
        <v>1052</v>
      </c>
      <c r="F82" s="951" t="s">
        <v>984</v>
      </c>
      <c r="G82" s="951"/>
      <c r="H82" s="951"/>
      <c r="I82" s="948" t="s">
        <v>985</v>
      </c>
      <c r="J82" s="948" t="s">
        <v>1053</v>
      </c>
      <c r="K82" s="948" t="s">
        <v>392</v>
      </c>
      <c r="L82" s="948" t="s">
        <v>377</v>
      </c>
      <c r="M82" s="952"/>
      <c r="N82" s="949" t="s">
        <v>1054</v>
      </c>
      <c r="O82" s="949"/>
      <c r="P82" s="949"/>
      <c r="Q82" s="949"/>
      <c r="R82" s="949"/>
      <c r="S82" s="949"/>
      <c r="T82" s="949" t="s">
        <v>1055</v>
      </c>
      <c r="U82" s="949"/>
      <c r="V82" s="949"/>
      <c r="W82" s="949" t="s">
        <v>989</v>
      </c>
      <c r="X82" s="949"/>
      <c r="Y82" s="949"/>
      <c r="Z82" s="949" t="s">
        <v>1056</v>
      </c>
      <c r="AA82" s="949"/>
      <c r="AB82" s="949"/>
      <c r="AC82" s="949"/>
      <c r="AD82" s="949"/>
      <c r="AE82" s="949"/>
      <c r="AF82" s="953" t="s">
        <v>1057</v>
      </c>
      <c r="AG82" s="953"/>
      <c r="AH82" s="953"/>
      <c r="AI82" s="953"/>
      <c r="AJ82" s="953"/>
      <c r="AK82" s="951" t="s">
        <v>1058</v>
      </c>
      <c r="AL82" s="951"/>
      <c r="AM82" s="951"/>
      <c r="AN82" s="951"/>
      <c r="AO82" s="951"/>
      <c r="AP82" s="951"/>
      <c r="AQ82" s="951" t="s">
        <v>1059</v>
      </c>
      <c r="AR82" s="951"/>
      <c r="AS82" s="951"/>
      <c r="AT82" s="951" t="s">
        <v>1060</v>
      </c>
      <c r="AU82" s="951"/>
      <c r="AV82" s="951"/>
      <c r="AW82" s="951"/>
      <c r="AX82" s="951"/>
      <c r="AY82" s="951"/>
      <c r="AZ82" s="951" t="s">
        <v>1061</v>
      </c>
      <c r="BA82" s="951"/>
      <c r="BB82" s="951"/>
      <c r="BC82" s="954" t="s">
        <v>1062</v>
      </c>
      <c r="BD82" s="954"/>
      <c r="BE82" s="954"/>
      <c r="BF82" s="954"/>
      <c r="BG82" s="954"/>
      <c r="BH82" s="954"/>
      <c r="BI82" s="954" t="s">
        <v>996</v>
      </c>
      <c r="BJ82" s="954"/>
      <c r="BK82" s="954"/>
      <c r="BL82" s="951" t="s">
        <v>997</v>
      </c>
      <c r="BM82" s="951"/>
      <c r="BN82" s="951"/>
      <c r="BO82" s="951"/>
      <c r="BP82" s="951"/>
      <c r="BQ82" s="951"/>
      <c r="BR82" s="951"/>
      <c r="BS82" s="951"/>
      <c r="BT82" s="955" t="s">
        <v>998</v>
      </c>
    </row>
    <row r="83" spans="1:72">
      <c r="A83" s="949"/>
      <c r="B83" s="949"/>
      <c r="C83" s="949"/>
      <c r="D83" s="949" t="s">
        <v>1063</v>
      </c>
      <c r="E83" s="949" t="s">
        <v>391</v>
      </c>
      <c r="F83" s="948" t="s">
        <v>999</v>
      </c>
      <c r="G83" s="948" t="s">
        <v>1000</v>
      </c>
      <c r="H83" s="948" t="s">
        <v>1001</v>
      </c>
      <c r="I83" s="948" t="s">
        <v>1002</v>
      </c>
      <c r="J83" s="948" t="s">
        <v>1003</v>
      </c>
      <c r="K83" s="951" t="s">
        <v>1064</v>
      </c>
      <c r="L83" s="948"/>
      <c r="M83" s="952"/>
      <c r="N83" s="949" t="s">
        <v>1001</v>
      </c>
      <c r="O83" s="949"/>
      <c r="P83" s="949" t="s">
        <v>1000</v>
      </c>
      <c r="Q83" s="949"/>
      <c r="R83" s="949" t="s">
        <v>1001</v>
      </c>
      <c r="S83" s="949"/>
      <c r="T83" s="950" t="s">
        <v>1007</v>
      </c>
      <c r="U83" s="949" t="s">
        <v>1005</v>
      </c>
      <c r="V83" s="949"/>
      <c r="W83" s="949"/>
      <c r="X83" s="949" t="s">
        <v>1000</v>
      </c>
      <c r="Y83" s="949" t="s">
        <v>1001</v>
      </c>
      <c r="Z83" s="949" t="s">
        <v>1001</v>
      </c>
      <c r="AA83" s="949"/>
      <c r="AB83" s="949" t="s">
        <v>1000</v>
      </c>
      <c r="AC83" s="949"/>
      <c r="AD83" s="949" t="s">
        <v>1001</v>
      </c>
      <c r="AE83" s="949"/>
      <c r="AF83" s="953" t="s">
        <v>1004</v>
      </c>
      <c r="AG83" s="953"/>
      <c r="AH83" s="953"/>
      <c r="AI83" s="953" t="s">
        <v>1065</v>
      </c>
      <c r="AJ83" s="953"/>
      <c r="AK83" s="951" t="s">
        <v>1001</v>
      </c>
      <c r="AL83" s="951"/>
      <c r="AM83" s="951" t="s">
        <v>1000</v>
      </c>
      <c r="AN83" s="951"/>
      <c r="AO83" s="951" t="s">
        <v>1001</v>
      </c>
      <c r="AP83" s="951"/>
      <c r="AQ83" s="951" t="s">
        <v>1004</v>
      </c>
      <c r="AR83" s="951" t="s">
        <v>1005</v>
      </c>
      <c r="AS83" s="951"/>
      <c r="AT83" s="951" t="s">
        <v>1066</v>
      </c>
      <c r="AU83" s="951"/>
      <c r="AV83" s="951" t="s">
        <v>1000</v>
      </c>
      <c r="AW83" s="951"/>
      <c r="AX83" s="951" t="s">
        <v>1001</v>
      </c>
      <c r="AY83" s="951"/>
      <c r="AZ83" s="951" t="s">
        <v>1004</v>
      </c>
      <c r="BA83" s="951" t="s">
        <v>1005</v>
      </c>
      <c r="BB83" s="951"/>
      <c r="BC83" s="953" t="s">
        <v>1001</v>
      </c>
      <c r="BD83" s="953"/>
      <c r="BE83" s="953" t="s">
        <v>1000</v>
      </c>
      <c r="BF83" s="953"/>
      <c r="BG83" s="951" t="s">
        <v>1001</v>
      </c>
      <c r="BH83" s="951"/>
      <c r="BI83" s="956" t="s">
        <v>1004</v>
      </c>
      <c r="BJ83" s="954" t="s">
        <v>1005</v>
      </c>
      <c r="BK83" s="954"/>
      <c r="BL83" s="951" t="s">
        <v>1006</v>
      </c>
      <c r="BM83" s="951"/>
      <c r="BN83" s="951"/>
      <c r="BO83" s="951"/>
      <c r="BP83" s="951"/>
      <c r="BQ83" s="951"/>
      <c r="BR83" s="951" t="s">
        <v>1067</v>
      </c>
      <c r="BS83" s="951"/>
      <c r="BT83" s="953" t="s">
        <v>1068</v>
      </c>
    </row>
    <row r="84" spans="1:72">
      <c r="A84" s="949"/>
      <c r="B84" s="949"/>
      <c r="C84" s="949" t="s">
        <v>391</v>
      </c>
      <c r="D84" s="949"/>
      <c r="E84" s="949"/>
      <c r="F84" s="948" t="s">
        <v>1069</v>
      </c>
      <c r="G84" s="948" t="s">
        <v>1069</v>
      </c>
      <c r="H84" s="948" t="s">
        <v>1069</v>
      </c>
      <c r="I84" s="948" t="s">
        <v>1069</v>
      </c>
      <c r="J84" s="948" t="s">
        <v>1069</v>
      </c>
      <c r="K84" s="951"/>
      <c r="L84" s="948" t="s">
        <v>1070</v>
      </c>
      <c r="M84" s="952"/>
      <c r="N84" s="949"/>
      <c r="O84" s="949"/>
      <c r="P84" s="949"/>
      <c r="Q84" s="949"/>
      <c r="R84" s="949"/>
      <c r="S84" s="949"/>
      <c r="T84" s="950" t="s">
        <v>1071</v>
      </c>
      <c r="U84" s="950" t="s">
        <v>1012</v>
      </c>
      <c r="V84" s="950" t="s">
        <v>494</v>
      </c>
      <c r="W84" s="949"/>
      <c r="X84" s="949"/>
      <c r="Y84" s="949"/>
      <c r="Z84" s="949"/>
      <c r="AA84" s="949"/>
      <c r="AB84" s="949"/>
      <c r="AC84" s="949"/>
      <c r="AD84" s="949"/>
      <c r="AE84" s="949"/>
      <c r="AF84" s="955" t="s">
        <v>1001</v>
      </c>
      <c r="AG84" s="955" t="s">
        <v>1000</v>
      </c>
      <c r="AH84" s="955" t="s">
        <v>1001</v>
      </c>
      <c r="AI84" s="955" t="s">
        <v>1012</v>
      </c>
      <c r="AJ84" s="955" t="s">
        <v>494</v>
      </c>
      <c r="AK84" s="951"/>
      <c r="AL84" s="951"/>
      <c r="AM84" s="951"/>
      <c r="AN84" s="951"/>
      <c r="AO84" s="951"/>
      <c r="AP84" s="951"/>
      <c r="AQ84" s="951"/>
      <c r="AR84" s="948" t="s">
        <v>1012</v>
      </c>
      <c r="AS84" s="948" t="s">
        <v>494</v>
      </c>
      <c r="AT84" s="951"/>
      <c r="AU84" s="951"/>
      <c r="AV84" s="951"/>
      <c r="AW84" s="951"/>
      <c r="AX84" s="951"/>
      <c r="AY84" s="951"/>
      <c r="AZ84" s="951"/>
      <c r="BA84" s="948" t="s">
        <v>1012</v>
      </c>
      <c r="BB84" s="948" t="s">
        <v>494</v>
      </c>
      <c r="BC84" s="953"/>
      <c r="BD84" s="953"/>
      <c r="BE84" s="953"/>
      <c r="BF84" s="953"/>
      <c r="BG84" s="951"/>
      <c r="BH84" s="951"/>
      <c r="BI84" s="957"/>
      <c r="BJ84" s="957" t="s">
        <v>1012</v>
      </c>
      <c r="BK84" s="957" t="s">
        <v>494</v>
      </c>
      <c r="BL84" s="951" t="s">
        <v>1001</v>
      </c>
      <c r="BM84" s="951"/>
      <c r="BN84" s="951" t="s">
        <v>1000</v>
      </c>
      <c r="BO84" s="951"/>
      <c r="BP84" s="951" t="s">
        <v>1001</v>
      </c>
      <c r="BQ84" s="951"/>
      <c r="BR84" s="951" t="s">
        <v>1004</v>
      </c>
      <c r="BS84" s="948"/>
      <c r="BT84" s="953"/>
    </row>
    <row r="85" spans="1:72">
      <c r="A85" s="949"/>
      <c r="B85" s="949"/>
      <c r="C85" s="949"/>
      <c r="D85" s="950" t="s">
        <v>1072</v>
      </c>
      <c r="E85" s="950" t="s">
        <v>1073</v>
      </c>
      <c r="F85" s="948" t="s">
        <v>1074</v>
      </c>
      <c r="G85" s="948" t="s">
        <v>1075</v>
      </c>
      <c r="H85" s="948" t="s">
        <v>1076</v>
      </c>
      <c r="I85" s="948" t="s">
        <v>1077</v>
      </c>
      <c r="J85" s="948" t="s">
        <v>1078</v>
      </c>
      <c r="K85" s="948" t="s">
        <v>1079</v>
      </c>
      <c r="L85" s="948" t="s">
        <v>1080</v>
      </c>
      <c r="M85" s="952"/>
      <c r="N85" s="949" t="s">
        <v>1081</v>
      </c>
      <c r="O85" s="949"/>
      <c r="P85" s="949"/>
      <c r="Q85" s="949"/>
      <c r="R85" s="949"/>
      <c r="S85" s="949"/>
      <c r="T85" s="950" t="s">
        <v>1082</v>
      </c>
      <c r="U85" s="949" t="s">
        <v>1081</v>
      </c>
      <c r="V85" s="949"/>
      <c r="W85" s="949" t="s">
        <v>1081</v>
      </c>
      <c r="X85" s="949"/>
      <c r="Y85" s="949"/>
      <c r="Z85" s="949" t="s">
        <v>1082</v>
      </c>
      <c r="AA85" s="949"/>
      <c r="AB85" s="949"/>
      <c r="AC85" s="949"/>
      <c r="AD85" s="949"/>
      <c r="AE85" s="949"/>
      <c r="AF85" s="953" t="s">
        <v>1082</v>
      </c>
      <c r="AG85" s="953"/>
      <c r="AH85" s="953"/>
      <c r="AI85" s="953"/>
      <c r="AJ85" s="953"/>
      <c r="AK85" s="951" t="s">
        <v>1069</v>
      </c>
      <c r="AL85" s="951"/>
      <c r="AM85" s="951"/>
      <c r="AN85" s="951"/>
      <c r="AO85" s="951"/>
      <c r="AP85" s="951"/>
      <c r="AQ85" s="951"/>
      <c r="AR85" s="951"/>
      <c r="AS85" s="951"/>
      <c r="AT85" s="951"/>
      <c r="AU85" s="951"/>
      <c r="AV85" s="951"/>
      <c r="AW85" s="951"/>
      <c r="AX85" s="951"/>
      <c r="AY85" s="951"/>
      <c r="AZ85" s="951"/>
      <c r="BA85" s="951"/>
      <c r="BB85" s="951"/>
      <c r="BC85" s="954"/>
      <c r="BD85" s="954"/>
      <c r="BE85" s="954"/>
      <c r="BF85" s="954"/>
      <c r="BG85" s="954"/>
      <c r="BH85" s="954"/>
      <c r="BI85" s="954"/>
      <c r="BJ85" s="954"/>
      <c r="BK85" s="954"/>
      <c r="BL85" s="951"/>
      <c r="BM85" s="951"/>
      <c r="BN85" s="951"/>
      <c r="BO85" s="951"/>
      <c r="BP85" s="951"/>
      <c r="BQ85" s="951"/>
      <c r="BR85" s="951"/>
      <c r="BS85" s="948" t="s">
        <v>494</v>
      </c>
      <c r="BT85" s="953"/>
    </row>
    <row r="86" spans="1:72">
      <c r="A86" s="952"/>
      <c r="B86" s="952"/>
      <c r="C86" s="950"/>
      <c r="D86" s="950"/>
      <c r="E86" s="950"/>
      <c r="F86" s="948"/>
      <c r="G86" s="948"/>
      <c r="H86" s="948"/>
      <c r="I86" s="948"/>
      <c r="J86" s="948"/>
      <c r="K86" s="948"/>
      <c r="L86" s="948"/>
      <c r="M86" s="952"/>
      <c r="N86" s="950"/>
      <c r="O86" s="950"/>
      <c r="P86" s="950"/>
      <c r="Q86" s="950"/>
      <c r="R86" s="950"/>
      <c r="S86" s="950"/>
      <c r="T86" s="950"/>
      <c r="U86" s="950"/>
      <c r="V86" s="950"/>
      <c r="W86" s="950"/>
      <c r="X86" s="950"/>
      <c r="Y86" s="950"/>
      <c r="Z86" s="950"/>
      <c r="AA86" s="950"/>
      <c r="AB86" s="950"/>
      <c r="AC86" s="950"/>
      <c r="AD86" s="950"/>
      <c r="AE86" s="950"/>
      <c r="AF86" s="955"/>
      <c r="AG86" s="955"/>
      <c r="AH86" s="955"/>
      <c r="AI86" s="955"/>
      <c r="AJ86" s="955"/>
      <c r="AK86" s="948"/>
      <c r="AL86" s="948"/>
      <c r="AM86" s="948"/>
      <c r="AN86" s="948"/>
      <c r="AO86" s="948"/>
      <c r="AP86" s="948"/>
      <c r="AQ86" s="948"/>
      <c r="AR86" s="948"/>
      <c r="AS86" s="948"/>
      <c r="AT86" s="948"/>
      <c r="AU86" s="948"/>
      <c r="AV86" s="948"/>
      <c r="AW86" s="948"/>
      <c r="AX86" s="948"/>
      <c r="AY86" s="948"/>
      <c r="AZ86" s="948"/>
      <c r="BA86" s="948"/>
      <c r="BB86" s="948"/>
      <c r="BC86" s="957"/>
      <c r="BD86" s="957"/>
      <c r="BE86" s="957"/>
      <c r="BF86" s="957"/>
      <c r="BG86" s="957"/>
      <c r="BH86" s="957"/>
      <c r="BI86" s="957"/>
      <c r="BJ86" s="957"/>
      <c r="BK86" s="957"/>
      <c r="BL86" s="948"/>
      <c r="BM86" s="948"/>
      <c r="BN86" s="948"/>
      <c r="BO86" s="948"/>
      <c r="BP86" s="948"/>
      <c r="BQ86" s="948"/>
      <c r="BR86" s="948"/>
      <c r="BS86" s="948"/>
      <c r="BT86" s="955"/>
    </row>
    <row r="87" spans="1:72">
      <c r="A87" s="958" t="s">
        <v>1132</v>
      </c>
      <c r="B87" s="952"/>
      <c r="C87" s="950"/>
      <c r="D87" s="950"/>
      <c r="E87" s="950"/>
      <c r="F87" s="948"/>
      <c r="G87" s="948"/>
      <c r="H87" s="948"/>
      <c r="I87" s="948"/>
      <c r="J87" s="948"/>
      <c r="K87" s="948"/>
      <c r="L87" s="948"/>
      <c r="M87" s="952"/>
      <c r="N87" s="959" t="str">
        <f>A87</f>
        <v>Balok Lantai 2</v>
      </c>
      <c r="O87" s="959"/>
      <c r="P87" s="950"/>
      <c r="Q87" s="950"/>
      <c r="R87" s="950"/>
      <c r="S87" s="950"/>
      <c r="T87" s="950"/>
      <c r="U87" s="950"/>
      <c r="V87" s="950"/>
      <c r="W87" s="950"/>
      <c r="X87" s="950"/>
      <c r="Y87" s="950"/>
      <c r="Z87" s="950"/>
      <c r="AA87" s="950"/>
      <c r="AB87" s="950"/>
      <c r="AC87" s="950"/>
      <c r="AD87" s="950"/>
      <c r="AE87" s="950"/>
      <c r="AF87" s="955"/>
      <c r="AG87" s="955"/>
      <c r="AH87" s="955"/>
      <c r="AI87" s="955"/>
      <c r="AJ87" s="955"/>
      <c r="AK87" s="948"/>
      <c r="AL87" s="948"/>
      <c r="AM87" s="948"/>
      <c r="AN87" s="948"/>
      <c r="AO87" s="948"/>
      <c r="AP87" s="948"/>
      <c r="AQ87" s="948"/>
      <c r="AR87" s="948"/>
      <c r="AS87" s="948"/>
      <c r="AT87" s="948"/>
      <c r="AU87" s="948"/>
      <c r="AV87" s="948"/>
      <c r="AW87" s="948"/>
      <c r="AX87" s="948"/>
      <c r="AY87" s="948"/>
      <c r="AZ87" s="948"/>
      <c r="BA87" s="948"/>
      <c r="BB87" s="948"/>
      <c r="BC87" s="957"/>
      <c r="BD87" s="957"/>
      <c r="BE87" s="957"/>
      <c r="BF87" s="957"/>
      <c r="BG87" s="957"/>
      <c r="BH87" s="957"/>
      <c r="BI87" s="957"/>
      <c r="BJ87" s="957"/>
      <c r="BK87" s="957"/>
      <c r="BL87" s="948"/>
      <c r="BM87" s="948"/>
      <c r="BN87" s="948"/>
      <c r="BO87" s="948"/>
      <c r="BP87" s="948"/>
      <c r="BQ87" s="948"/>
      <c r="BR87" s="948"/>
      <c r="BS87" s="948"/>
      <c r="BT87" s="955"/>
    </row>
    <row r="88" spans="1:72">
      <c r="A88" s="960" t="s">
        <v>2</v>
      </c>
      <c r="B88" s="960" t="s">
        <v>1084</v>
      </c>
      <c r="C88" s="950"/>
      <c r="D88" s="950"/>
      <c r="E88" s="950"/>
      <c r="F88" s="948"/>
      <c r="G88" s="948"/>
      <c r="H88" s="948"/>
      <c r="I88" s="948"/>
      <c r="J88" s="948"/>
      <c r="K88" s="948"/>
      <c r="L88" s="948"/>
      <c r="M88" s="952"/>
      <c r="N88" s="959" t="str">
        <f>A88</f>
        <v>A</v>
      </c>
      <c r="O88" s="959" t="str">
        <f>B88</f>
        <v>Vertikal</v>
      </c>
      <c r="P88" s="950"/>
      <c r="Q88" s="950"/>
      <c r="R88" s="950"/>
      <c r="S88" s="950"/>
      <c r="T88" s="950"/>
      <c r="U88" s="950"/>
      <c r="V88" s="950"/>
      <c r="W88" s="950"/>
      <c r="X88" s="950"/>
      <c r="Y88" s="950"/>
      <c r="Z88" s="950"/>
      <c r="AA88" s="950"/>
      <c r="AB88" s="950"/>
      <c r="AC88" s="950"/>
      <c r="AD88" s="950"/>
      <c r="AE88" s="950"/>
      <c r="AF88" s="955"/>
      <c r="AG88" s="955"/>
      <c r="AH88" s="955"/>
      <c r="AI88" s="955"/>
      <c r="AJ88" s="955"/>
      <c r="AK88" s="948"/>
      <c r="AL88" s="948"/>
      <c r="AM88" s="948"/>
      <c r="AN88" s="948"/>
      <c r="AO88" s="948"/>
      <c r="AP88" s="948"/>
      <c r="AQ88" s="948"/>
      <c r="AR88" s="948"/>
      <c r="AS88" s="948"/>
      <c r="AT88" s="948"/>
      <c r="AU88" s="948"/>
      <c r="AV88" s="948"/>
      <c r="AW88" s="948"/>
      <c r="AX88" s="948"/>
      <c r="AY88" s="948"/>
      <c r="AZ88" s="948"/>
      <c r="BA88" s="948"/>
      <c r="BB88" s="948"/>
      <c r="BC88" s="957"/>
      <c r="BD88" s="957"/>
      <c r="BE88" s="957"/>
      <c r="BF88" s="957"/>
      <c r="BG88" s="957"/>
      <c r="BH88" s="957"/>
      <c r="BI88" s="957"/>
      <c r="BJ88" s="957"/>
      <c r="BK88" s="957"/>
      <c r="BL88" s="948"/>
      <c r="BM88" s="948"/>
      <c r="BN88" s="948"/>
      <c r="BO88" s="948"/>
      <c r="BP88" s="948"/>
      <c r="BQ88" s="948"/>
      <c r="BR88" s="948"/>
      <c r="BS88" s="948"/>
      <c r="BT88" s="955"/>
    </row>
    <row r="89" spans="1:72">
      <c r="A89" s="952">
        <v>1</v>
      </c>
      <c r="B89" s="952" t="s">
        <v>1133</v>
      </c>
      <c r="C89" s="950" t="s">
        <v>1086</v>
      </c>
      <c r="D89" s="950">
        <v>1</v>
      </c>
      <c r="E89" s="950">
        <v>1</v>
      </c>
      <c r="F89" s="948">
        <f>14*8</f>
        <v>112</v>
      </c>
      <c r="G89" s="948">
        <v>0.3</v>
      </c>
      <c r="H89" s="948">
        <v>0.7</v>
      </c>
      <c r="I89" s="948">
        <v>0.12</v>
      </c>
      <c r="J89" s="948">
        <f t="shared" ref="J89:J100" si="126">H89-I89</f>
        <v>0.57999999999999996</v>
      </c>
      <c r="K89" s="948">
        <f t="shared" ref="K89:K97" si="127">F89*G89*J89*D89*E89</f>
        <v>19.488</v>
      </c>
      <c r="L89" s="948">
        <f t="shared" ref="L89:L94" si="128">(2*J89)*F89*E89*D89</f>
        <v>129.91999999999999</v>
      </c>
      <c r="M89" s="952"/>
      <c r="N89" s="950">
        <v>19</v>
      </c>
      <c r="O89" s="950">
        <v>19</v>
      </c>
      <c r="P89" s="950">
        <v>19</v>
      </c>
      <c r="Q89" s="950">
        <v>19</v>
      </c>
      <c r="R89" s="950">
        <v>19</v>
      </c>
      <c r="S89" s="950">
        <v>19</v>
      </c>
      <c r="T89" s="950">
        <v>8</v>
      </c>
      <c r="U89" s="950"/>
      <c r="V89" s="950"/>
      <c r="W89" s="950">
        <v>200</v>
      </c>
      <c r="X89" s="950">
        <v>100</v>
      </c>
      <c r="Y89" s="950">
        <v>100</v>
      </c>
      <c r="Z89" s="950">
        <v>9</v>
      </c>
      <c r="AA89" s="950">
        <v>6</v>
      </c>
      <c r="AB89" s="950">
        <v>6</v>
      </c>
      <c r="AC89" s="950">
        <v>6</v>
      </c>
      <c r="AD89" s="950">
        <v>9</v>
      </c>
      <c r="AE89" s="950">
        <v>6</v>
      </c>
      <c r="AF89" s="955">
        <f t="shared" ref="AF89:AF95" si="129">(F89/4)/(W89/1000)+1</f>
        <v>141</v>
      </c>
      <c r="AG89" s="955">
        <f t="shared" ref="AG89:AG100" si="130">(F89/2)/(X89/1000)+1</f>
        <v>561</v>
      </c>
      <c r="AH89" s="955">
        <f>(F89/4)/(Y89/1000)+1</f>
        <v>281</v>
      </c>
      <c r="AI89" s="955">
        <v>0</v>
      </c>
      <c r="AJ89" s="955">
        <v>0</v>
      </c>
      <c r="AK89" s="948">
        <f t="shared" ref="AK89:AK100" si="131">(F89/4)+(20*N89/1000)+(10*N89/1000)+(8*N89/1000)+(6*2*N89/1000)</f>
        <v>28.950000000000003</v>
      </c>
      <c r="AL89" s="948">
        <f t="shared" ref="AL89:AL100" si="132">(F89/4)+(20*O89/1000)+(10*O89/1000)+(8*O89/1000)+(6*2*O89/1000)</f>
        <v>28.950000000000003</v>
      </c>
      <c r="AM89" s="948">
        <f t="shared" ref="AM89:AM100" si="133">(F89/2)+(20*P89/1000)+(6*2*P89/1000)</f>
        <v>56.608000000000004</v>
      </c>
      <c r="AN89" s="948">
        <f t="shared" ref="AN89:AN100" si="134">(F89/2)+(20*Q89/1000)+(6*2*Q89/1000)</f>
        <v>56.608000000000004</v>
      </c>
      <c r="AO89" s="948">
        <f t="shared" ref="AO89:AO100" si="135">(F89/4)+(20*R89/1000)+(10*R89/1000)+(8*R89/1000)+(6*2*R89/1000)</f>
        <v>28.950000000000003</v>
      </c>
      <c r="AP89" s="948">
        <f t="shared" ref="AP89:AP100" si="136">(F89/4)+(20*S89/1000)+(10*S89/1000)+(8*S89/1000)+(6*2*S89/1000)</f>
        <v>28.950000000000003</v>
      </c>
      <c r="AQ89" s="948">
        <f t="shared" ref="AQ89:AQ100" si="137">(2*G89)+(2*H89)+(6*T89/1000)-(8*0.03)</f>
        <v>1.8080000000000001</v>
      </c>
      <c r="AR89" s="948">
        <f t="shared" ref="AR89:AR100" si="138">((H89)+(2*6*U89/1000)-(2*0.03))*AI89</f>
        <v>0</v>
      </c>
      <c r="AS89" s="948">
        <f t="shared" ref="AS89:AS100" si="139">((G89)+(2*6*V89/1000)-(2*0.03))*AJ89</f>
        <v>0</v>
      </c>
      <c r="AT89" s="948">
        <f>AK89*Z89*E89*D89</f>
        <v>260.55</v>
      </c>
      <c r="AU89" s="948">
        <f t="shared" ref="AU89:AU100" si="140">AL89*AA89*E89*D89</f>
        <v>173.70000000000002</v>
      </c>
      <c r="AV89" s="948">
        <f t="shared" ref="AV89:AV100" si="141">AM89*AB89*E89*D89</f>
        <v>339.64800000000002</v>
      </c>
      <c r="AW89" s="948">
        <f t="shared" ref="AW89:AW100" si="142">AN89*AC89*E89*D89</f>
        <v>339.64800000000002</v>
      </c>
      <c r="AX89" s="948">
        <f t="shared" ref="AX89:AX100" si="143">AO89*AD89*E89*D89</f>
        <v>260.55</v>
      </c>
      <c r="AY89" s="948">
        <f t="shared" ref="AY89:AY100" si="144">AP89*AE89*E89*D89</f>
        <v>173.70000000000002</v>
      </c>
      <c r="AZ89" s="948">
        <f t="shared" ref="AZ89:AZ100" si="145">AQ89*(AF89+AG89+AH89)*E89*D89</f>
        <v>1777.2640000000001</v>
      </c>
      <c r="BA89" s="948">
        <f t="shared" ref="BA89:BA100" si="146">AR89*(AF89+AG89+AH89)*E89*D89</f>
        <v>0</v>
      </c>
      <c r="BB89" s="948">
        <f t="shared" ref="BB89:BB100" si="147">AS89*(AF89+AG89+AH89)*E89*D89</f>
        <v>0</v>
      </c>
      <c r="BC89" s="957">
        <f t="shared" ref="BC89:BJ100" si="148">N89*N89*0.074/12</f>
        <v>2.2261666666666664</v>
      </c>
      <c r="BD89" s="957">
        <f t="shared" si="148"/>
        <v>2.2261666666666664</v>
      </c>
      <c r="BE89" s="957">
        <f t="shared" si="148"/>
        <v>2.2261666666666664</v>
      </c>
      <c r="BF89" s="957">
        <f t="shared" si="148"/>
        <v>2.2261666666666664</v>
      </c>
      <c r="BG89" s="957">
        <f t="shared" si="148"/>
        <v>2.2261666666666664</v>
      </c>
      <c r="BH89" s="957">
        <f t="shared" si="148"/>
        <v>2.2261666666666664</v>
      </c>
      <c r="BI89" s="957">
        <f t="shared" si="148"/>
        <v>0.39466666666666667</v>
      </c>
      <c r="BJ89" s="957">
        <f>U89*U89*0.074/12</f>
        <v>0</v>
      </c>
      <c r="BK89" s="957">
        <f t="shared" ref="BK89:BK100" si="149">V89*V89*0.074/12</f>
        <v>0</v>
      </c>
      <c r="BL89" s="948">
        <f>AT89*BC89</f>
        <v>580.02772499999992</v>
      </c>
      <c r="BM89" s="948">
        <f t="shared" ref="BM89:BR100" si="150">AU89*BD89</f>
        <v>386.68514999999996</v>
      </c>
      <c r="BN89" s="948">
        <f t="shared" si="150"/>
        <v>756.11305599999992</v>
      </c>
      <c r="BO89" s="948">
        <f t="shared" si="150"/>
        <v>756.11305599999992</v>
      </c>
      <c r="BP89" s="948">
        <f t="shared" si="150"/>
        <v>580.02772499999992</v>
      </c>
      <c r="BQ89" s="948">
        <f t="shared" si="150"/>
        <v>386.68514999999996</v>
      </c>
      <c r="BR89" s="948">
        <f t="shared" si="150"/>
        <v>701.4268586666667</v>
      </c>
      <c r="BS89" s="948">
        <f t="shared" ref="BS89:BS97" si="151">BB89*BK89</f>
        <v>0</v>
      </c>
      <c r="BT89" s="955">
        <f t="shared" ref="BT89:BT100" si="152">SUM(BL89:BS89)/K89</f>
        <v>212.80165849069513</v>
      </c>
    </row>
    <row r="90" spans="1:72">
      <c r="A90" s="952">
        <v>2</v>
      </c>
      <c r="B90" s="952" t="s">
        <v>1088</v>
      </c>
      <c r="C90" s="950" t="s">
        <v>1089</v>
      </c>
      <c r="D90" s="950">
        <v>1</v>
      </c>
      <c r="E90" s="950">
        <v>1</v>
      </c>
      <c r="F90" s="948">
        <v>39.200000000000003</v>
      </c>
      <c r="G90" s="948">
        <v>0.3</v>
      </c>
      <c r="H90" s="948">
        <v>0.7</v>
      </c>
      <c r="I90" s="948">
        <v>0.12</v>
      </c>
      <c r="J90" s="948">
        <f t="shared" si="126"/>
        <v>0.57999999999999996</v>
      </c>
      <c r="K90" s="948">
        <f t="shared" si="127"/>
        <v>6.8207999999999993</v>
      </c>
      <c r="L90" s="948">
        <f t="shared" si="128"/>
        <v>45.472000000000001</v>
      </c>
      <c r="M90" s="952"/>
      <c r="N90" s="950">
        <v>19</v>
      </c>
      <c r="O90" s="950">
        <v>19</v>
      </c>
      <c r="P90" s="950">
        <v>19</v>
      </c>
      <c r="Q90" s="950">
        <v>19</v>
      </c>
      <c r="R90" s="950">
        <v>19</v>
      </c>
      <c r="S90" s="950">
        <v>19</v>
      </c>
      <c r="T90" s="950">
        <v>8</v>
      </c>
      <c r="U90" s="950"/>
      <c r="V90" s="950"/>
      <c r="W90" s="950">
        <v>200</v>
      </c>
      <c r="X90" s="950">
        <v>100</v>
      </c>
      <c r="Y90" s="950">
        <v>100</v>
      </c>
      <c r="Z90" s="950">
        <v>9</v>
      </c>
      <c r="AA90" s="950">
        <v>6</v>
      </c>
      <c r="AB90" s="950">
        <v>4</v>
      </c>
      <c r="AC90" s="950">
        <v>4</v>
      </c>
      <c r="AD90" s="950">
        <v>9</v>
      </c>
      <c r="AE90" s="950">
        <v>6</v>
      </c>
      <c r="AF90" s="955">
        <f t="shared" si="129"/>
        <v>50</v>
      </c>
      <c r="AG90" s="955">
        <f t="shared" si="130"/>
        <v>197</v>
      </c>
      <c r="AH90" s="955">
        <f t="shared" ref="AH90:AH100" si="153">(F90/4)/(Y90/1000)+1</f>
        <v>99</v>
      </c>
      <c r="AI90" s="955">
        <v>0</v>
      </c>
      <c r="AJ90" s="955">
        <v>0</v>
      </c>
      <c r="AK90" s="948">
        <f t="shared" si="131"/>
        <v>10.75</v>
      </c>
      <c r="AL90" s="948">
        <f t="shared" si="132"/>
        <v>10.75</v>
      </c>
      <c r="AM90" s="948">
        <f t="shared" si="133"/>
        <v>20.208000000000002</v>
      </c>
      <c r="AN90" s="948">
        <f t="shared" si="134"/>
        <v>20.208000000000002</v>
      </c>
      <c r="AO90" s="948">
        <f t="shared" si="135"/>
        <v>10.75</v>
      </c>
      <c r="AP90" s="948">
        <f t="shared" si="136"/>
        <v>10.75</v>
      </c>
      <c r="AQ90" s="948">
        <f t="shared" si="137"/>
        <v>1.8080000000000001</v>
      </c>
      <c r="AR90" s="948">
        <f t="shared" si="138"/>
        <v>0</v>
      </c>
      <c r="AS90" s="948">
        <f t="shared" si="139"/>
        <v>0</v>
      </c>
      <c r="AT90" s="948">
        <f t="shared" ref="AT90" si="154">AK90*Z90*E90*D90</f>
        <v>96.75</v>
      </c>
      <c r="AU90" s="948">
        <f t="shared" si="140"/>
        <v>64.5</v>
      </c>
      <c r="AV90" s="948">
        <f t="shared" si="141"/>
        <v>80.832000000000008</v>
      </c>
      <c r="AW90" s="948">
        <f t="shared" si="142"/>
        <v>80.832000000000008</v>
      </c>
      <c r="AX90" s="948">
        <f t="shared" si="143"/>
        <v>96.75</v>
      </c>
      <c r="AY90" s="948">
        <f t="shared" si="144"/>
        <v>64.5</v>
      </c>
      <c r="AZ90" s="948">
        <f t="shared" si="145"/>
        <v>625.56799999999998</v>
      </c>
      <c r="BA90" s="948">
        <f t="shared" si="146"/>
        <v>0</v>
      </c>
      <c r="BB90" s="948">
        <f t="shared" si="147"/>
        <v>0</v>
      </c>
      <c r="BC90" s="957">
        <f t="shared" si="148"/>
        <v>2.2261666666666664</v>
      </c>
      <c r="BD90" s="957">
        <f t="shared" si="148"/>
        <v>2.2261666666666664</v>
      </c>
      <c r="BE90" s="957">
        <f t="shared" si="148"/>
        <v>2.2261666666666664</v>
      </c>
      <c r="BF90" s="957">
        <f t="shared" si="148"/>
        <v>2.2261666666666664</v>
      </c>
      <c r="BG90" s="957">
        <f t="shared" si="148"/>
        <v>2.2261666666666664</v>
      </c>
      <c r="BH90" s="957">
        <f t="shared" si="148"/>
        <v>2.2261666666666664</v>
      </c>
      <c r="BI90" s="957">
        <f t="shared" si="148"/>
        <v>0.39466666666666667</v>
      </c>
      <c r="BJ90" s="957">
        <f t="shared" si="148"/>
        <v>0</v>
      </c>
      <c r="BK90" s="957">
        <f t="shared" si="149"/>
        <v>0</v>
      </c>
      <c r="BL90" s="948">
        <f t="shared" ref="BL90:BL100" si="155">AT90*BC90</f>
        <v>215.38162499999999</v>
      </c>
      <c r="BM90" s="948">
        <f t="shared" si="150"/>
        <v>143.58774999999997</v>
      </c>
      <c r="BN90" s="948">
        <f t="shared" si="150"/>
        <v>179.945504</v>
      </c>
      <c r="BO90" s="948">
        <f t="shared" si="150"/>
        <v>179.945504</v>
      </c>
      <c r="BP90" s="948">
        <f t="shared" si="150"/>
        <v>215.38162499999999</v>
      </c>
      <c r="BQ90" s="948">
        <f t="shared" si="150"/>
        <v>143.58774999999997</v>
      </c>
      <c r="BR90" s="948">
        <f t="shared" si="150"/>
        <v>246.89083733333334</v>
      </c>
      <c r="BS90" s="948">
        <f t="shared" si="151"/>
        <v>0</v>
      </c>
      <c r="BT90" s="955">
        <f t="shared" si="152"/>
        <v>194.2177743568692</v>
      </c>
    </row>
    <row r="91" spans="1:72">
      <c r="A91" s="952">
        <v>3</v>
      </c>
      <c r="B91" s="952" t="s">
        <v>1134</v>
      </c>
      <c r="C91" s="950" t="s">
        <v>1135</v>
      </c>
      <c r="D91" s="950">
        <v>1</v>
      </c>
      <c r="E91" s="950">
        <v>1</v>
      </c>
      <c r="F91" s="948">
        <v>8</v>
      </c>
      <c r="G91" s="948">
        <v>0.3</v>
      </c>
      <c r="H91" s="948">
        <v>0.7</v>
      </c>
      <c r="I91" s="948">
        <v>0.12</v>
      </c>
      <c r="J91" s="948">
        <f t="shared" si="126"/>
        <v>0.57999999999999996</v>
      </c>
      <c r="K91" s="948">
        <f t="shared" si="127"/>
        <v>1.3919999999999999</v>
      </c>
      <c r="L91" s="948">
        <f t="shared" si="128"/>
        <v>9.2799999999999994</v>
      </c>
      <c r="M91" s="952"/>
      <c r="N91" s="950">
        <v>19</v>
      </c>
      <c r="O91" s="950">
        <v>25</v>
      </c>
      <c r="P91" s="950">
        <v>19</v>
      </c>
      <c r="Q91" s="950">
        <v>19</v>
      </c>
      <c r="R91" s="950">
        <v>19</v>
      </c>
      <c r="S91" s="950">
        <v>25</v>
      </c>
      <c r="T91" s="950">
        <v>8</v>
      </c>
      <c r="U91" s="950"/>
      <c r="V91" s="950"/>
      <c r="W91" s="950">
        <v>200</v>
      </c>
      <c r="X91" s="950">
        <v>100</v>
      </c>
      <c r="Y91" s="950">
        <v>100</v>
      </c>
      <c r="Z91" s="950">
        <v>9</v>
      </c>
      <c r="AA91" s="950">
        <v>6</v>
      </c>
      <c r="AB91" s="950">
        <v>4</v>
      </c>
      <c r="AC91" s="950">
        <v>4</v>
      </c>
      <c r="AD91" s="950">
        <v>9</v>
      </c>
      <c r="AE91" s="950">
        <v>6</v>
      </c>
      <c r="AF91" s="955">
        <f t="shared" si="129"/>
        <v>11</v>
      </c>
      <c r="AG91" s="955">
        <f t="shared" si="130"/>
        <v>41</v>
      </c>
      <c r="AH91" s="955">
        <f t="shared" si="153"/>
        <v>21</v>
      </c>
      <c r="AI91" s="955">
        <v>0</v>
      </c>
      <c r="AJ91" s="955">
        <v>0</v>
      </c>
      <c r="AK91" s="948">
        <f t="shared" si="131"/>
        <v>2.95</v>
      </c>
      <c r="AL91" s="948">
        <f t="shared" si="132"/>
        <v>3.25</v>
      </c>
      <c r="AM91" s="948">
        <f t="shared" si="133"/>
        <v>4.6079999999999997</v>
      </c>
      <c r="AN91" s="948">
        <f t="shared" si="134"/>
        <v>4.6079999999999997</v>
      </c>
      <c r="AO91" s="948">
        <f t="shared" si="135"/>
        <v>2.95</v>
      </c>
      <c r="AP91" s="948">
        <f t="shared" si="136"/>
        <v>3.25</v>
      </c>
      <c r="AQ91" s="948">
        <f t="shared" si="137"/>
        <v>1.8080000000000001</v>
      </c>
      <c r="AR91" s="948">
        <f t="shared" si="138"/>
        <v>0</v>
      </c>
      <c r="AS91" s="948">
        <f t="shared" si="139"/>
        <v>0</v>
      </c>
      <c r="AT91" s="948">
        <f>AK91*Z91*E91*D91</f>
        <v>26.55</v>
      </c>
      <c r="AU91" s="948">
        <f t="shared" si="140"/>
        <v>19.5</v>
      </c>
      <c r="AV91" s="948">
        <f t="shared" si="141"/>
        <v>18.431999999999999</v>
      </c>
      <c r="AW91" s="948">
        <f t="shared" si="142"/>
        <v>18.431999999999999</v>
      </c>
      <c r="AX91" s="948">
        <f t="shared" si="143"/>
        <v>26.55</v>
      </c>
      <c r="AY91" s="948">
        <f t="shared" si="144"/>
        <v>19.5</v>
      </c>
      <c r="AZ91" s="948">
        <f t="shared" si="145"/>
        <v>131.98400000000001</v>
      </c>
      <c r="BA91" s="948">
        <f t="shared" si="146"/>
        <v>0</v>
      </c>
      <c r="BB91" s="948">
        <f t="shared" si="147"/>
        <v>0</v>
      </c>
      <c r="BC91" s="957">
        <f t="shared" si="148"/>
        <v>2.2261666666666664</v>
      </c>
      <c r="BD91" s="957">
        <f t="shared" si="148"/>
        <v>3.8541666666666665</v>
      </c>
      <c r="BE91" s="957">
        <f t="shared" si="148"/>
        <v>2.2261666666666664</v>
      </c>
      <c r="BF91" s="957">
        <f t="shared" si="148"/>
        <v>2.2261666666666664</v>
      </c>
      <c r="BG91" s="957">
        <f t="shared" si="148"/>
        <v>2.2261666666666664</v>
      </c>
      <c r="BH91" s="957">
        <f t="shared" si="148"/>
        <v>3.8541666666666665</v>
      </c>
      <c r="BI91" s="957">
        <f t="shared" si="148"/>
        <v>0.39466666666666667</v>
      </c>
      <c r="BJ91" s="957">
        <f t="shared" si="148"/>
        <v>0</v>
      </c>
      <c r="BK91" s="957">
        <f t="shared" si="149"/>
        <v>0</v>
      </c>
      <c r="BL91" s="948">
        <f t="shared" si="155"/>
        <v>59.104724999999995</v>
      </c>
      <c r="BM91" s="948">
        <f t="shared" si="150"/>
        <v>75.15625</v>
      </c>
      <c r="BN91" s="948">
        <f t="shared" si="150"/>
        <v>41.032703999999995</v>
      </c>
      <c r="BO91" s="948">
        <f t="shared" si="150"/>
        <v>41.032703999999995</v>
      </c>
      <c r="BP91" s="948">
        <f t="shared" si="150"/>
        <v>59.104724999999995</v>
      </c>
      <c r="BQ91" s="948">
        <f t="shared" si="150"/>
        <v>75.15625</v>
      </c>
      <c r="BR91" s="948">
        <f t="shared" si="150"/>
        <v>52.089685333333335</v>
      </c>
      <c r="BS91" s="948">
        <f t="shared" si="151"/>
        <v>0</v>
      </c>
      <c r="BT91" s="955">
        <f t="shared" si="152"/>
        <v>289.27948515325676</v>
      </c>
    </row>
    <row r="92" spans="1:72">
      <c r="A92" s="952">
        <v>4</v>
      </c>
      <c r="B92" s="952" t="s">
        <v>1136</v>
      </c>
      <c r="C92" s="950" t="s">
        <v>1110</v>
      </c>
      <c r="D92" s="950">
        <v>1</v>
      </c>
      <c r="E92" s="950">
        <v>1</v>
      </c>
      <c r="F92" s="948">
        <v>39.200000000000003</v>
      </c>
      <c r="G92" s="948">
        <v>0.3</v>
      </c>
      <c r="H92" s="948">
        <v>0.7</v>
      </c>
      <c r="I92" s="948">
        <v>0.12</v>
      </c>
      <c r="J92" s="948">
        <f t="shared" si="126"/>
        <v>0.57999999999999996</v>
      </c>
      <c r="K92" s="948">
        <f t="shared" si="127"/>
        <v>6.8207999999999993</v>
      </c>
      <c r="L92" s="948">
        <f t="shared" si="128"/>
        <v>45.472000000000001</v>
      </c>
      <c r="M92" s="952"/>
      <c r="N92" s="950">
        <v>16</v>
      </c>
      <c r="O92" s="950">
        <v>16</v>
      </c>
      <c r="P92" s="950">
        <v>16</v>
      </c>
      <c r="Q92" s="950">
        <v>16</v>
      </c>
      <c r="R92" s="950">
        <v>16</v>
      </c>
      <c r="S92" s="950">
        <v>16</v>
      </c>
      <c r="T92" s="950">
        <v>8</v>
      </c>
      <c r="U92" s="950"/>
      <c r="V92" s="950"/>
      <c r="W92" s="950">
        <v>200</v>
      </c>
      <c r="X92" s="950">
        <v>100</v>
      </c>
      <c r="Y92" s="950">
        <v>100</v>
      </c>
      <c r="Z92" s="950">
        <v>9</v>
      </c>
      <c r="AA92" s="950">
        <v>6</v>
      </c>
      <c r="AB92" s="950">
        <v>4</v>
      </c>
      <c r="AC92" s="950">
        <v>4</v>
      </c>
      <c r="AD92" s="950">
        <v>9</v>
      </c>
      <c r="AE92" s="950">
        <v>6</v>
      </c>
      <c r="AF92" s="955">
        <f t="shared" si="129"/>
        <v>50</v>
      </c>
      <c r="AG92" s="955">
        <f t="shared" si="130"/>
        <v>197</v>
      </c>
      <c r="AH92" s="955">
        <f t="shared" si="153"/>
        <v>99</v>
      </c>
      <c r="AI92" s="955">
        <v>0</v>
      </c>
      <c r="AJ92" s="955">
        <v>0</v>
      </c>
      <c r="AK92" s="948">
        <f t="shared" si="131"/>
        <v>10.600000000000001</v>
      </c>
      <c r="AL92" s="948">
        <f t="shared" si="132"/>
        <v>10.600000000000001</v>
      </c>
      <c r="AM92" s="948">
        <f t="shared" si="133"/>
        <v>20.112000000000002</v>
      </c>
      <c r="AN92" s="948">
        <f t="shared" si="134"/>
        <v>20.112000000000002</v>
      </c>
      <c r="AO92" s="948">
        <f t="shared" si="135"/>
        <v>10.600000000000001</v>
      </c>
      <c r="AP92" s="948">
        <f t="shared" si="136"/>
        <v>10.600000000000001</v>
      </c>
      <c r="AQ92" s="948">
        <f t="shared" si="137"/>
        <v>1.8080000000000001</v>
      </c>
      <c r="AR92" s="948">
        <f t="shared" si="138"/>
        <v>0</v>
      </c>
      <c r="AS92" s="948">
        <f t="shared" si="139"/>
        <v>0</v>
      </c>
      <c r="AT92" s="948">
        <f t="shared" ref="AT92:AT100" si="156">AK92*Z92*E92*D92</f>
        <v>95.4</v>
      </c>
      <c r="AU92" s="948">
        <f t="shared" si="140"/>
        <v>63.600000000000009</v>
      </c>
      <c r="AV92" s="948">
        <f t="shared" si="141"/>
        <v>80.448000000000008</v>
      </c>
      <c r="AW92" s="948">
        <f t="shared" si="142"/>
        <v>80.448000000000008</v>
      </c>
      <c r="AX92" s="948">
        <f t="shared" si="143"/>
        <v>95.4</v>
      </c>
      <c r="AY92" s="948">
        <f t="shared" si="144"/>
        <v>63.600000000000009</v>
      </c>
      <c r="AZ92" s="948">
        <f t="shared" si="145"/>
        <v>625.56799999999998</v>
      </c>
      <c r="BA92" s="948">
        <f t="shared" si="146"/>
        <v>0</v>
      </c>
      <c r="BB92" s="948">
        <f t="shared" si="147"/>
        <v>0</v>
      </c>
      <c r="BC92" s="957">
        <f t="shared" si="148"/>
        <v>1.5786666666666667</v>
      </c>
      <c r="BD92" s="957">
        <f t="shared" si="148"/>
        <v>1.5786666666666667</v>
      </c>
      <c r="BE92" s="957">
        <f t="shared" si="148"/>
        <v>1.5786666666666667</v>
      </c>
      <c r="BF92" s="957">
        <f t="shared" si="148"/>
        <v>1.5786666666666667</v>
      </c>
      <c r="BG92" s="957">
        <f t="shared" si="148"/>
        <v>1.5786666666666667</v>
      </c>
      <c r="BH92" s="957">
        <f t="shared" si="148"/>
        <v>1.5786666666666667</v>
      </c>
      <c r="BI92" s="957">
        <f t="shared" si="148"/>
        <v>0.39466666666666667</v>
      </c>
      <c r="BJ92" s="957">
        <f t="shared" si="148"/>
        <v>0</v>
      </c>
      <c r="BK92" s="957">
        <f t="shared" si="149"/>
        <v>0</v>
      </c>
      <c r="BL92" s="948">
        <f t="shared" si="155"/>
        <v>150.60480000000001</v>
      </c>
      <c r="BM92" s="948">
        <f t="shared" si="150"/>
        <v>100.40320000000001</v>
      </c>
      <c r="BN92" s="948">
        <f t="shared" si="150"/>
        <v>127.00057600000001</v>
      </c>
      <c r="BO92" s="948">
        <f t="shared" si="150"/>
        <v>127.00057600000001</v>
      </c>
      <c r="BP92" s="948">
        <f t="shared" si="150"/>
        <v>150.60480000000001</v>
      </c>
      <c r="BQ92" s="948">
        <f t="shared" si="150"/>
        <v>100.40320000000001</v>
      </c>
      <c r="BR92" s="948">
        <f t="shared" si="150"/>
        <v>246.89083733333334</v>
      </c>
      <c r="BS92" s="948">
        <f t="shared" si="151"/>
        <v>0</v>
      </c>
      <c r="BT92" s="955">
        <f t="shared" si="152"/>
        <v>147.03670967237474</v>
      </c>
    </row>
    <row r="93" spans="1:72">
      <c r="A93" s="952">
        <v>5</v>
      </c>
      <c r="B93" s="952" t="s">
        <v>1092</v>
      </c>
      <c r="C93" s="950" t="s">
        <v>1093</v>
      </c>
      <c r="D93" s="950">
        <v>1</v>
      </c>
      <c r="E93" s="950">
        <v>1</v>
      </c>
      <c r="F93" s="948">
        <v>80</v>
      </c>
      <c r="G93" s="948">
        <v>0.25</v>
      </c>
      <c r="H93" s="948">
        <v>0.6</v>
      </c>
      <c r="I93" s="948">
        <v>0.12</v>
      </c>
      <c r="J93" s="948">
        <f t="shared" si="126"/>
        <v>0.48</v>
      </c>
      <c r="K93" s="948">
        <f t="shared" si="127"/>
        <v>9.6</v>
      </c>
      <c r="L93" s="948">
        <f t="shared" si="128"/>
        <v>76.8</v>
      </c>
      <c r="M93" s="952"/>
      <c r="N93" s="950">
        <v>16</v>
      </c>
      <c r="O93" s="950">
        <v>16</v>
      </c>
      <c r="P93" s="950">
        <v>16</v>
      </c>
      <c r="Q93" s="950">
        <v>16</v>
      </c>
      <c r="R93" s="950">
        <v>16</v>
      </c>
      <c r="S93" s="950">
        <v>16</v>
      </c>
      <c r="T93" s="950">
        <v>8</v>
      </c>
      <c r="U93" s="950"/>
      <c r="V93" s="950"/>
      <c r="W93" s="950">
        <v>200</v>
      </c>
      <c r="X93" s="950">
        <v>100</v>
      </c>
      <c r="Y93" s="950">
        <v>100</v>
      </c>
      <c r="Z93" s="950">
        <v>9</v>
      </c>
      <c r="AA93" s="950">
        <v>6</v>
      </c>
      <c r="AB93" s="950">
        <v>4</v>
      </c>
      <c r="AC93" s="950">
        <v>4</v>
      </c>
      <c r="AD93" s="950">
        <v>9</v>
      </c>
      <c r="AE93" s="950">
        <v>6</v>
      </c>
      <c r="AF93" s="955">
        <f t="shared" si="129"/>
        <v>101</v>
      </c>
      <c r="AG93" s="955">
        <f t="shared" si="130"/>
        <v>401</v>
      </c>
      <c r="AH93" s="955">
        <f t="shared" si="153"/>
        <v>201</v>
      </c>
      <c r="AI93" s="955">
        <v>0</v>
      </c>
      <c r="AJ93" s="955">
        <v>0</v>
      </c>
      <c r="AK93" s="948">
        <f t="shared" si="131"/>
        <v>20.8</v>
      </c>
      <c r="AL93" s="948">
        <f t="shared" si="132"/>
        <v>20.8</v>
      </c>
      <c r="AM93" s="948">
        <f t="shared" si="133"/>
        <v>40.512</v>
      </c>
      <c r="AN93" s="948">
        <f t="shared" si="134"/>
        <v>40.512</v>
      </c>
      <c r="AO93" s="948">
        <f t="shared" si="135"/>
        <v>20.8</v>
      </c>
      <c r="AP93" s="948">
        <f t="shared" si="136"/>
        <v>20.8</v>
      </c>
      <c r="AQ93" s="948">
        <f t="shared" si="137"/>
        <v>1.508</v>
      </c>
      <c r="AR93" s="948">
        <f t="shared" si="138"/>
        <v>0</v>
      </c>
      <c r="AS93" s="948">
        <f t="shared" si="139"/>
        <v>0</v>
      </c>
      <c r="AT93" s="948">
        <f t="shared" si="156"/>
        <v>187.20000000000002</v>
      </c>
      <c r="AU93" s="948">
        <f t="shared" si="140"/>
        <v>124.80000000000001</v>
      </c>
      <c r="AV93" s="948">
        <f t="shared" si="141"/>
        <v>162.048</v>
      </c>
      <c r="AW93" s="948">
        <f t="shared" si="142"/>
        <v>162.048</v>
      </c>
      <c r="AX93" s="948">
        <f t="shared" si="143"/>
        <v>187.20000000000002</v>
      </c>
      <c r="AY93" s="948">
        <f t="shared" si="144"/>
        <v>124.80000000000001</v>
      </c>
      <c r="AZ93" s="948">
        <f t="shared" si="145"/>
        <v>1060.124</v>
      </c>
      <c r="BA93" s="948">
        <f t="shared" si="146"/>
        <v>0</v>
      </c>
      <c r="BB93" s="948">
        <f t="shared" si="147"/>
        <v>0</v>
      </c>
      <c r="BC93" s="957">
        <f t="shared" si="148"/>
        <v>1.5786666666666667</v>
      </c>
      <c r="BD93" s="957">
        <f t="shared" si="148"/>
        <v>1.5786666666666667</v>
      </c>
      <c r="BE93" s="957">
        <f t="shared" si="148"/>
        <v>1.5786666666666667</v>
      </c>
      <c r="BF93" s="957">
        <f t="shared" si="148"/>
        <v>1.5786666666666667</v>
      </c>
      <c r="BG93" s="957">
        <f t="shared" si="148"/>
        <v>1.5786666666666667</v>
      </c>
      <c r="BH93" s="957">
        <f t="shared" si="148"/>
        <v>1.5786666666666667</v>
      </c>
      <c r="BI93" s="957">
        <f t="shared" si="148"/>
        <v>0.39466666666666667</v>
      </c>
      <c r="BJ93" s="957">
        <f t="shared" si="148"/>
        <v>0</v>
      </c>
      <c r="BK93" s="957">
        <f t="shared" si="149"/>
        <v>0</v>
      </c>
      <c r="BL93" s="948">
        <f t="shared" si="155"/>
        <v>295.52640000000002</v>
      </c>
      <c r="BM93" s="948">
        <f t="shared" si="150"/>
        <v>197.01760000000002</v>
      </c>
      <c r="BN93" s="948">
        <f t="shared" si="150"/>
        <v>255.81977599999999</v>
      </c>
      <c r="BO93" s="948">
        <f t="shared" si="150"/>
        <v>255.81977599999999</v>
      </c>
      <c r="BP93" s="948">
        <f t="shared" si="150"/>
        <v>295.52640000000002</v>
      </c>
      <c r="BQ93" s="948">
        <f t="shared" si="150"/>
        <v>197.01760000000002</v>
      </c>
      <c r="BR93" s="948">
        <f t="shared" si="150"/>
        <v>418.39560533333332</v>
      </c>
      <c r="BS93" s="948">
        <f t="shared" si="151"/>
        <v>0</v>
      </c>
      <c r="BT93" s="955">
        <f t="shared" si="152"/>
        <v>199.49199555555555</v>
      </c>
    </row>
    <row r="94" spans="1:72">
      <c r="A94" s="952">
        <v>6</v>
      </c>
      <c r="B94" s="952" t="s">
        <v>1094</v>
      </c>
      <c r="C94" s="950" t="s">
        <v>1095</v>
      </c>
      <c r="D94" s="950">
        <v>1</v>
      </c>
      <c r="E94" s="950">
        <v>1</v>
      </c>
      <c r="F94" s="948">
        <v>80</v>
      </c>
      <c r="G94" s="948">
        <v>0.3</v>
      </c>
      <c r="H94" s="948">
        <v>0.7</v>
      </c>
      <c r="I94" s="948">
        <v>0.12</v>
      </c>
      <c r="J94" s="948">
        <f t="shared" si="126"/>
        <v>0.57999999999999996</v>
      </c>
      <c r="K94" s="948">
        <f t="shared" si="127"/>
        <v>13.919999999999998</v>
      </c>
      <c r="L94" s="948">
        <f t="shared" si="128"/>
        <v>92.8</v>
      </c>
      <c r="M94" s="952"/>
      <c r="N94" s="950">
        <v>19</v>
      </c>
      <c r="O94" s="950">
        <v>19</v>
      </c>
      <c r="P94" s="950">
        <v>19</v>
      </c>
      <c r="Q94" s="950">
        <v>19</v>
      </c>
      <c r="R94" s="950">
        <v>19</v>
      </c>
      <c r="S94" s="950">
        <v>19</v>
      </c>
      <c r="T94" s="950">
        <v>8</v>
      </c>
      <c r="U94" s="950"/>
      <c r="V94" s="950"/>
      <c r="W94" s="950">
        <v>200</v>
      </c>
      <c r="X94" s="950">
        <v>100</v>
      </c>
      <c r="Y94" s="950">
        <v>100</v>
      </c>
      <c r="Z94" s="950">
        <v>9</v>
      </c>
      <c r="AA94" s="950">
        <v>6</v>
      </c>
      <c r="AB94" s="950">
        <v>4</v>
      </c>
      <c r="AC94" s="950">
        <v>4</v>
      </c>
      <c r="AD94" s="950">
        <v>9</v>
      </c>
      <c r="AE94" s="950">
        <v>6</v>
      </c>
      <c r="AF94" s="955">
        <f t="shared" si="129"/>
        <v>101</v>
      </c>
      <c r="AG94" s="955">
        <f t="shared" si="130"/>
        <v>401</v>
      </c>
      <c r="AH94" s="955">
        <f t="shared" si="153"/>
        <v>201</v>
      </c>
      <c r="AI94" s="955">
        <v>0</v>
      </c>
      <c r="AJ94" s="955">
        <v>0</v>
      </c>
      <c r="AK94" s="948">
        <f t="shared" si="131"/>
        <v>20.950000000000003</v>
      </c>
      <c r="AL94" s="948">
        <f t="shared" si="132"/>
        <v>20.950000000000003</v>
      </c>
      <c r="AM94" s="948">
        <f t="shared" si="133"/>
        <v>40.608000000000004</v>
      </c>
      <c r="AN94" s="948">
        <f t="shared" si="134"/>
        <v>40.608000000000004</v>
      </c>
      <c r="AO94" s="948">
        <f t="shared" si="135"/>
        <v>20.950000000000003</v>
      </c>
      <c r="AP94" s="948">
        <f t="shared" si="136"/>
        <v>20.950000000000003</v>
      </c>
      <c r="AQ94" s="948">
        <f t="shared" si="137"/>
        <v>1.8080000000000001</v>
      </c>
      <c r="AR94" s="948">
        <f t="shared" si="138"/>
        <v>0</v>
      </c>
      <c r="AS94" s="948">
        <f t="shared" si="139"/>
        <v>0</v>
      </c>
      <c r="AT94" s="948">
        <f t="shared" si="156"/>
        <v>188.55</v>
      </c>
      <c r="AU94" s="948">
        <f t="shared" si="140"/>
        <v>125.70000000000002</v>
      </c>
      <c r="AV94" s="948">
        <f t="shared" si="141"/>
        <v>162.43200000000002</v>
      </c>
      <c r="AW94" s="948">
        <f t="shared" si="142"/>
        <v>162.43200000000002</v>
      </c>
      <c r="AX94" s="948">
        <f t="shared" si="143"/>
        <v>188.55</v>
      </c>
      <c r="AY94" s="948">
        <f t="shared" si="144"/>
        <v>125.70000000000002</v>
      </c>
      <c r="AZ94" s="948">
        <f t="shared" si="145"/>
        <v>1271.0240000000001</v>
      </c>
      <c r="BA94" s="948">
        <f t="shared" si="146"/>
        <v>0</v>
      </c>
      <c r="BB94" s="948">
        <f t="shared" si="147"/>
        <v>0</v>
      </c>
      <c r="BC94" s="957">
        <f t="shared" si="148"/>
        <v>2.2261666666666664</v>
      </c>
      <c r="BD94" s="957">
        <f t="shared" si="148"/>
        <v>2.2261666666666664</v>
      </c>
      <c r="BE94" s="957">
        <f t="shared" si="148"/>
        <v>2.2261666666666664</v>
      </c>
      <c r="BF94" s="957">
        <f t="shared" si="148"/>
        <v>2.2261666666666664</v>
      </c>
      <c r="BG94" s="957">
        <f t="shared" si="148"/>
        <v>2.2261666666666664</v>
      </c>
      <c r="BH94" s="957">
        <f t="shared" si="148"/>
        <v>2.2261666666666664</v>
      </c>
      <c r="BI94" s="957">
        <f t="shared" si="148"/>
        <v>0.39466666666666667</v>
      </c>
      <c r="BJ94" s="957">
        <f t="shared" si="148"/>
        <v>0</v>
      </c>
      <c r="BK94" s="957">
        <f t="shared" si="149"/>
        <v>0</v>
      </c>
      <c r="BL94" s="948">
        <f t="shared" si="155"/>
        <v>419.74372499999998</v>
      </c>
      <c r="BM94" s="948">
        <f t="shared" si="150"/>
        <v>279.82915000000003</v>
      </c>
      <c r="BN94" s="948">
        <f t="shared" si="150"/>
        <v>361.60070400000001</v>
      </c>
      <c r="BO94" s="948">
        <f t="shared" si="150"/>
        <v>361.60070400000001</v>
      </c>
      <c r="BP94" s="948">
        <f t="shared" si="150"/>
        <v>419.74372499999998</v>
      </c>
      <c r="BQ94" s="948">
        <f t="shared" si="150"/>
        <v>279.82915000000003</v>
      </c>
      <c r="BR94" s="948">
        <f t="shared" si="150"/>
        <v>501.6308053333334</v>
      </c>
      <c r="BS94" s="948">
        <f t="shared" si="151"/>
        <v>0</v>
      </c>
      <c r="BT94" s="955">
        <f t="shared" si="152"/>
        <v>188.50416403256708</v>
      </c>
    </row>
    <row r="95" spans="1:72">
      <c r="A95" s="952">
        <v>7</v>
      </c>
      <c r="B95" s="952" t="s">
        <v>1096</v>
      </c>
      <c r="C95" s="950" t="s">
        <v>1097</v>
      </c>
      <c r="D95" s="950">
        <v>1</v>
      </c>
      <c r="E95" s="950">
        <v>1</v>
      </c>
      <c r="F95" s="948">
        <v>64</v>
      </c>
      <c r="G95" s="948">
        <f>G94</f>
        <v>0.3</v>
      </c>
      <c r="H95" s="948">
        <f>H94</f>
        <v>0.7</v>
      </c>
      <c r="I95" s="948">
        <v>0.12</v>
      </c>
      <c r="J95" s="948">
        <f t="shared" si="126"/>
        <v>0.57999999999999996</v>
      </c>
      <c r="K95" s="948">
        <f t="shared" si="127"/>
        <v>11.135999999999999</v>
      </c>
      <c r="L95" s="948">
        <f>(2*J95)*F95*E95*D72</f>
        <v>74.239999999999995</v>
      </c>
      <c r="M95" s="952"/>
      <c r="N95" s="950">
        <v>19</v>
      </c>
      <c r="O95" s="950">
        <v>19</v>
      </c>
      <c r="P95" s="950">
        <v>19</v>
      </c>
      <c r="Q95" s="950">
        <v>19</v>
      </c>
      <c r="R95" s="950">
        <v>19</v>
      </c>
      <c r="S95" s="950">
        <v>19</v>
      </c>
      <c r="T95" s="950">
        <v>8</v>
      </c>
      <c r="U95" s="950"/>
      <c r="V95" s="950"/>
      <c r="W95" s="950">
        <v>200</v>
      </c>
      <c r="X95" s="950">
        <v>100</v>
      </c>
      <c r="Y95" s="950">
        <v>100</v>
      </c>
      <c r="Z95" s="950">
        <v>9</v>
      </c>
      <c r="AA95" s="950">
        <v>6</v>
      </c>
      <c r="AB95" s="950">
        <v>4</v>
      </c>
      <c r="AC95" s="950">
        <v>4</v>
      </c>
      <c r="AD95" s="950">
        <v>9</v>
      </c>
      <c r="AE95" s="950">
        <v>6</v>
      </c>
      <c r="AF95" s="955">
        <f t="shared" si="129"/>
        <v>81</v>
      </c>
      <c r="AG95" s="955">
        <f t="shared" si="130"/>
        <v>321</v>
      </c>
      <c r="AH95" s="955">
        <f t="shared" si="153"/>
        <v>161</v>
      </c>
      <c r="AI95" s="955">
        <v>0</v>
      </c>
      <c r="AJ95" s="955">
        <v>0</v>
      </c>
      <c r="AK95" s="948">
        <f t="shared" si="131"/>
        <v>16.950000000000003</v>
      </c>
      <c r="AL95" s="948">
        <f t="shared" si="132"/>
        <v>16.950000000000003</v>
      </c>
      <c r="AM95" s="948">
        <f t="shared" si="133"/>
        <v>32.608000000000004</v>
      </c>
      <c r="AN95" s="948">
        <f t="shared" si="134"/>
        <v>32.608000000000004</v>
      </c>
      <c r="AO95" s="948">
        <f t="shared" si="135"/>
        <v>16.950000000000003</v>
      </c>
      <c r="AP95" s="948">
        <f t="shared" si="136"/>
        <v>16.950000000000003</v>
      </c>
      <c r="AQ95" s="948">
        <f t="shared" si="137"/>
        <v>1.8080000000000001</v>
      </c>
      <c r="AR95" s="948">
        <f t="shared" si="138"/>
        <v>0</v>
      </c>
      <c r="AS95" s="948">
        <f t="shared" si="139"/>
        <v>0</v>
      </c>
      <c r="AT95" s="948">
        <f t="shared" si="156"/>
        <v>152.55000000000001</v>
      </c>
      <c r="AU95" s="948">
        <f t="shared" si="140"/>
        <v>101.70000000000002</v>
      </c>
      <c r="AV95" s="948">
        <f t="shared" si="141"/>
        <v>130.43200000000002</v>
      </c>
      <c r="AW95" s="948">
        <f t="shared" si="142"/>
        <v>130.43200000000002</v>
      </c>
      <c r="AX95" s="948">
        <f t="shared" si="143"/>
        <v>152.55000000000001</v>
      </c>
      <c r="AY95" s="948">
        <f t="shared" si="144"/>
        <v>101.70000000000002</v>
      </c>
      <c r="AZ95" s="948">
        <f t="shared" si="145"/>
        <v>1017.904</v>
      </c>
      <c r="BA95" s="948">
        <f t="shared" si="146"/>
        <v>0</v>
      </c>
      <c r="BB95" s="948">
        <f t="shared" si="147"/>
        <v>0</v>
      </c>
      <c r="BC95" s="957">
        <f t="shared" si="148"/>
        <v>2.2261666666666664</v>
      </c>
      <c r="BD95" s="957">
        <f t="shared" si="148"/>
        <v>2.2261666666666664</v>
      </c>
      <c r="BE95" s="957">
        <f t="shared" si="148"/>
        <v>2.2261666666666664</v>
      </c>
      <c r="BF95" s="957">
        <f t="shared" si="148"/>
        <v>2.2261666666666664</v>
      </c>
      <c r="BG95" s="957">
        <f t="shared" si="148"/>
        <v>2.2261666666666664</v>
      </c>
      <c r="BH95" s="957">
        <f t="shared" si="148"/>
        <v>2.2261666666666664</v>
      </c>
      <c r="BI95" s="957">
        <f t="shared" si="148"/>
        <v>0.39466666666666667</v>
      </c>
      <c r="BJ95" s="957">
        <f t="shared" si="148"/>
        <v>0</v>
      </c>
      <c r="BK95" s="957">
        <f t="shared" si="149"/>
        <v>0</v>
      </c>
      <c r="BL95" s="948">
        <f t="shared" si="155"/>
        <v>339.60172499999999</v>
      </c>
      <c r="BM95" s="948">
        <f t="shared" si="150"/>
        <v>226.40115</v>
      </c>
      <c r="BN95" s="948">
        <f t="shared" si="150"/>
        <v>290.3633706666667</v>
      </c>
      <c r="BO95" s="948">
        <f t="shared" si="150"/>
        <v>290.3633706666667</v>
      </c>
      <c r="BP95" s="948">
        <f t="shared" si="150"/>
        <v>339.60172499999999</v>
      </c>
      <c r="BQ95" s="948">
        <f>AY95*BH95</f>
        <v>226.40115</v>
      </c>
      <c r="BR95" s="948">
        <f t="shared" si="150"/>
        <v>401.73277866666666</v>
      </c>
      <c r="BS95" s="948">
        <f t="shared" si="151"/>
        <v>0</v>
      </c>
      <c r="BT95" s="955">
        <f t="shared" si="152"/>
        <v>189.87655082614944</v>
      </c>
    </row>
    <row r="96" spans="1:72">
      <c r="A96" s="952">
        <v>8</v>
      </c>
      <c r="B96" s="952" t="s">
        <v>1098</v>
      </c>
      <c r="C96" s="950" t="s">
        <v>1099</v>
      </c>
      <c r="D96" s="950">
        <v>1</v>
      </c>
      <c r="E96" s="950">
        <v>1</v>
      </c>
      <c r="F96" s="948">
        <v>56</v>
      </c>
      <c r="G96" s="948">
        <v>0.25</v>
      </c>
      <c r="H96" s="948">
        <v>0.6</v>
      </c>
      <c r="I96" s="948">
        <v>0.12</v>
      </c>
      <c r="J96" s="948">
        <f t="shared" si="126"/>
        <v>0.48</v>
      </c>
      <c r="K96" s="948">
        <f t="shared" si="127"/>
        <v>6.72</v>
      </c>
      <c r="L96" s="948">
        <f>(2*J96)*F96*E96*D96</f>
        <v>53.76</v>
      </c>
      <c r="M96" s="952"/>
      <c r="N96" s="950">
        <v>16</v>
      </c>
      <c r="O96" s="950">
        <v>16</v>
      </c>
      <c r="P96" s="950">
        <v>16</v>
      </c>
      <c r="Q96" s="950">
        <v>16</v>
      </c>
      <c r="R96" s="950">
        <v>16</v>
      </c>
      <c r="S96" s="950">
        <v>16</v>
      </c>
      <c r="T96" s="950">
        <v>8</v>
      </c>
      <c r="U96" s="950"/>
      <c r="V96" s="950"/>
      <c r="W96" s="950">
        <v>200</v>
      </c>
      <c r="X96" s="950">
        <v>100</v>
      </c>
      <c r="Y96" s="950">
        <v>100</v>
      </c>
      <c r="Z96" s="950">
        <v>9</v>
      </c>
      <c r="AA96" s="950">
        <v>6</v>
      </c>
      <c r="AB96" s="950">
        <v>4</v>
      </c>
      <c r="AC96" s="950">
        <v>4</v>
      </c>
      <c r="AD96" s="950">
        <v>9</v>
      </c>
      <c r="AE96" s="950">
        <v>6</v>
      </c>
      <c r="AF96" s="955">
        <f>(F96/4)/(W96/1000)+1</f>
        <v>71</v>
      </c>
      <c r="AG96" s="955">
        <f t="shared" si="130"/>
        <v>281</v>
      </c>
      <c r="AH96" s="955">
        <f t="shared" si="153"/>
        <v>141</v>
      </c>
      <c r="AI96" s="955">
        <v>0</v>
      </c>
      <c r="AJ96" s="955">
        <v>0</v>
      </c>
      <c r="AK96" s="948">
        <f t="shared" si="131"/>
        <v>14.8</v>
      </c>
      <c r="AL96" s="948">
        <f t="shared" si="132"/>
        <v>14.8</v>
      </c>
      <c r="AM96" s="948">
        <f t="shared" si="133"/>
        <v>28.512</v>
      </c>
      <c r="AN96" s="948">
        <f t="shared" si="134"/>
        <v>28.512</v>
      </c>
      <c r="AO96" s="948">
        <f t="shared" si="135"/>
        <v>14.8</v>
      </c>
      <c r="AP96" s="948">
        <f t="shared" si="136"/>
        <v>14.8</v>
      </c>
      <c r="AQ96" s="948">
        <f t="shared" si="137"/>
        <v>1.508</v>
      </c>
      <c r="AR96" s="948">
        <f t="shared" si="138"/>
        <v>0</v>
      </c>
      <c r="AS96" s="948">
        <f t="shared" si="139"/>
        <v>0</v>
      </c>
      <c r="AT96" s="948">
        <f t="shared" si="156"/>
        <v>133.20000000000002</v>
      </c>
      <c r="AU96" s="948">
        <f t="shared" si="140"/>
        <v>88.800000000000011</v>
      </c>
      <c r="AV96" s="948">
        <f t="shared" si="141"/>
        <v>114.048</v>
      </c>
      <c r="AW96" s="948">
        <f t="shared" si="142"/>
        <v>114.048</v>
      </c>
      <c r="AX96" s="948">
        <f t="shared" si="143"/>
        <v>133.20000000000002</v>
      </c>
      <c r="AY96" s="948">
        <f t="shared" si="144"/>
        <v>88.800000000000011</v>
      </c>
      <c r="AZ96" s="948">
        <f t="shared" si="145"/>
        <v>743.44399999999996</v>
      </c>
      <c r="BA96" s="948">
        <f t="shared" si="146"/>
        <v>0</v>
      </c>
      <c r="BB96" s="948">
        <f t="shared" si="147"/>
        <v>0</v>
      </c>
      <c r="BC96" s="957">
        <f t="shared" si="148"/>
        <v>1.5786666666666667</v>
      </c>
      <c r="BD96" s="957">
        <f t="shared" si="148"/>
        <v>1.5786666666666667</v>
      </c>
      <c r="BE96" s="957">
        <f t="shared" si="148"/>
        <v>1.5786666666666667</v>
      </c>
      <c r="BF96" s="957">
        <f t="shared" si="148"/>
        <v>1.5786666666666667</v>
      </c>
      <c r="BG96" s="957">
        <f t="shared" si="148"/>
        <v>1.5786666666666667</v>
      </c>
      <c r="BH96" s="957">
        <f t="shared" si="148"/>
        <v>1.5786666666666667</v>
      </c>
      <c r="BI96" s="957">
        <f t="shared" si="148"/>
        <v>0.39466666666666667</v>
      </c>
      <c r="BJ96" s="957">
        <f t="shared" si="148"/>
        <v>0</v>
      </c>
      <c r="BK96" s="957">
        <f t="shared" si="149"/>
        <v>0</v>
      </c>
      <c r="BL96" s="948">
        <f t="shared" si="155"/>
        <v>210.27840000000003</v>
      </c>
      <c r="BM96" s="948">
        <f t="shared" si="150"/>
        <v>140.18560000000002</v>
      </c>
      <c r="BN96" s="948">
        <f t="shared" si="150"/>
        <v>180.04377600000001</v>
      </c>
      <c r="BO96" s="948">
        <f t="shared" si="150"/>
        <v>180.04377600000001</v>
      </c>
      <c r="BP96" s="948">
        <f t="shared" si="150"/>
        <v>210.27840000000003</v>
      </c>
      <c r="BQ96" s="948">
        <f t="shared" si="150"/>
        <v>140.18560000000002</v>
      </c>
      <c r="BR96" s="948">
        <f t="shared" si="150"/>
        <v>293.4125653333333</v>
      </c>
      <c r="BS96" s="948">
        <f t="shared" si="151"/>
        <v>0</v>
      </c>
      <c r="BT96" s="955">
        <f t="shared" si="152"/>
        <v>201.55180317460318</v>
      </c>
    </row>
    <row r="97" spans="1:72">
      <c r="A97" s="952">
        <v>9</v>
      </c>
      <c r="B97" s="952" t="s">
        <v>1100</v>
      </c>
      <c r="C97" s="950" t="s">
        <v>1101</v>
      </c>
      <c r="D97" s="950">
        <v>1</v>
      </c>
      <c r="E97" s="950">
        <v>1</v>
      </c>
      <c r="F97" s="948">
        <v>26</v>
      </c>
      <c r="G97" s="948">
        <f>G96</f>
        <v>0.25</v>
      </c>
      <c r="H97" s="948">
        <v>0.6</v>
      </c>
      <c r="I97" s="948">
        <v>0.12</v>
      </c>
      <c r="J97" s="948">
        <f t="shared" si="126"/>
        <v>0.48</v>
      </c>
      <c r="K97" s="948">
        <f t="shared" si="127"/>
        <v>3.12</v>
      </c>
      <c r="L97" s="948">
        <f>(2*J97)*F97*E97*D97</f>
        <v>24.96</v>
      </c>
      <c r="M97" s="952"/>
      <c r="N97" s="950">
        <v>16</v>
      </c>
      <c r="O97" s="950">
        <v>16</v>
      </c>
      <c r="P97" s="950">
        <v>16</v>
      </c>
      <c r="Q97" s="950">
        <v>16</v>
      </c>
      <c r="R97" s="950">
        <v>16</v>
      </c>
      <c r="S97" s="950">
        <v>16</v>
      </c>
      <c r="T97" s="950">
        <v>8</v>
      </c>
      <c r="U97" s="950"/>
      <c r="V97" s="950"/>
      <c r="W97" s="950">
        <v>200</v>
      </c>
      <c r="X97" s="950">
        <v>100</v>
      </c>
      <c r="Y97" s="950">
        <v>100</v>
      </c>
      <c r="Z97" s="950">
        <v>9</v>
      </c>
      <c r="AA97" s="950">
        <v>6</v>
      </c>
      <c r="AB97" s="950">
        <v>4</v>
      </c>
      <c r="AC97" s="950">
        <v>4</v>
      </c>
      <c r="AD97" s="950">
        <v>9</v>
      </c>
      <c r="AE97" s="950">
        <v>6</v>
      </c>
      <c r="AF97" s="955">
        <f>(F97/4)/(W97/1000)+1</f>
        <v>33.5</v>
      </c>
      <c r="AG97" s="955">
        <f t="shared" si="130"/>
        <v>131</v>
      </c>
      <c r="AH97" s="955">
        <f t="shared" si="153"/>
        <v>66</v>
      </c>
      <c r="AI97" s="955">
        <v>0</v>
      </c>
      <c r="AJ97" s="955">
        <v>0</v>
      </c>
      <c r="AK97" s="948">
        <f t="shared" si="131"/>
        <v>7.3000000000000007</v>
      </c>
      <c r="AL97" s="948">
        <f t="shared" si="132"/>
        <v>7.3000000000000007</v>
      </c>
      <c r="AM97" s="948">
        <f t="shared" si="133"/>
        <v>13.512</v>
      </c>
      <c r="AN97" s="948">
        <f t="shared" si="134"/>
        <v>13.512</v>
      </c>
      <c r="AO97" s="948">
        <f t="shared" si="135"/>
        <v>7.3000000000000007</v>
      </c>
      <c r="AP97" s="948">
        <f t="shared" si="136"/>
        <v>7.3000000000000007</v>
      </c>
      <c r="AQ97" s="948">
        <f t="shared" si="137"/>
        <v>1.508</v>
      </c>
      <c r="AR97" s="948">
        <f t="shared" si="138"/>
        <v>0</v>
      </c>
      <c r="AS97" s="948">
        <f t="shared" si="139"/>
        <v>0</v>
      </c>
      <c r="AT97" s="948">
        <f t="shared" si="156"/>
        <v>65.7</v>
      </c>
      <c r="AU97" s="948">
        <f t="shared" si="140"/>
        <v>43.800000000000004</v>
      </c>
      <c r="AV97" s="948">
        <f t="shared" si="141"/>
        <v>54.048000000000002</v>
      </c>
      <c r="AW97" s="948">
        <f t="shared" si="142"/>
        <v>54.048000000000002</v>
      </c>
      <c r="AX97" s="948">
        <f t="shared" si="143"/>
        <v>65.7</v>
      </c>
      <c r="AY97" s="948">
        <f t="shared" si="144"/>
        <v>43.800000000000004</v>
      </c>
      <c r="AZ97" s="948">
        <f t="shared" si="145"/>
        <v>347.59399999999999</v>
      </c>
      <c r="BA97" s="948">
        <f t="shared" si="146"/>
        <v>0</v>
      </c>
      <c r="BB97" s="948">
        <f t="shared" si="147"/>
        <v>0</v>
      </c>
      <c r="BC97" s="957">
        <f t="shared" si="148"/>
        <v>1.5786666666666667</v>
      </c>
      <c r="BD97" s="957">
        <f t="shared" si="148"/>
        <v>1.5786666666666667</v>
      </c>
      <c r="BE97" s="957">
        <f t="shared" si="148"/>
        <v>1.5786666666666667</v>
      </c>
      <c r="BF97" s="957">
        <f t="shared" si="148"/>
        <v>1.5786666666666667</v>
      </c>
      <c r="BG97" s="957">
        <f t="shared" si="148"/>
        <v>1.5786666666666667</v>
      </c>
      <c r="BH97" s="957">
        <f t="shared" si="148"/>
        <v>1.5786666666666667</v>
      </c>
      <c r="BI97" s="957">
        <f t="shared" si="148"/>
        <v>0.39466666666666667</v>
      </c>
      <c r="BJ97" s="957">
        <f t="shared" si="148"/>
        <v>0</v>
      </c>
      <c r="BK97" s="957">
        <f t="shared" si="149"/>
        <v>0</v>
      </c>
      <c r="BL97" s="948">
        <f t="shared" si="155"/>
        <v>103.7184</v>
      </c>
      <c r="BM97" s="948">
        <f t="shared" si="150"/>
        <v>69.145600000000002</v>
      </c>
      <c r="BN97" s="948">
        <f t="shared" si="150"/>
        <v>85.323776000000009</v>
      </c>
      <c r="BO97" s="948">
        <f t="shared" si="150"/>
        <v>85.323776000000009</v>
      </c>
      <c r="BP97" s="948">
        <f t="shared" si="150"/>
        <v>103.7184</v>
      </c>
      <c r="BQ97" s="948">
        <f t="shared" si="150"/>
        <v>69.145600000000002</v>
      </c>
      <c r="BR97" s="948">
        <f t="shared" si="150"/>
        <v>137.18376533333333</v>
      </c>
      <c r="BS97" s="948">
        <f t="shared" si="151"/>
        <v>0</v>
      </c>
      <c r="BT97" s="955">
        <f t="shared" si="152"/>
        <v>209.47414017094016</v>
      </c>
    </row>
    <row r="98" spans="1:72">
      <c r="A98" s="952">
        <v>10</v>
      </c>
      <c r="B98" s="952" t="s">
        <v>1102</v>
      </c>
      <c r="C98" s="950" t="s">
        <v>1103</v>
      </c>
      <c r="D98" s="950">
        <v>1</v>
      </c>
      <c r="E98" s="950">
        <v>1</v>
      </c>
      <c r="F98" s="948">
        <v>10</v>
      </c>
      <c r="G98" s="948">
        <v>0.25</v>
      </c>
      <c r="H98" s="948">
        <v>0.6</v>
      </c>
      <c r="I98" s="948">
        <v>0.12</v>
      </c>
      <c r="J98" s="948">
        <f t="shared" si="126"/>
        <v>0.48</v>
      </c>
      <c r="K98" s="948">
        <f>F98*G98*J98*D98*E98</f>
        <v>1.2</v>
      </c>
      <c r="L98" s="948">
        <f>(2*J98)*D98*E98*F98</f>
        <v>9.6</v>
      </c>
      <c r="M98" s="952"/>
      <c r="N98" s="950">
        <v>16</v>
      </c>
      <c r="O98" s="950">
        <v>16</v>
      </c>
      <c r="P98" s="950">
        <v>16</v>
      </c>
      <c r="Q98" s="950">
        <v>16</v>
      </c>
      <c r="R98" s="950">
        <v>16</v>
      </c>
      <c r="S98" s="950">
        <v>16</v>
      </c>
      <c r="T98" s="950">
        <v>8</v>
      </c>
      <c r="U98" s="950"/>
      <c r="V98" s="950"/>
      <c r="W98" s="950">
        <v>200</v>
      </c>
      <c r="X98" s="950">
        <v>100</v>
      </c>
      <c r="Y98" s="950">
        <v>100</v>
      </c>
      <c r="Z98" s="950">
        <v>9</v>
      </c>
      <c r="AA98" s="950">
        <v>6</v>
      </c>
      <c r="AB98" s="950">
        <v>4</v>
      </c>
      <c r="AC98" s="950">
        <v>4</v>
      </c>
      <c r="AD98" s="950">
        <v>9</v>
      </c>
      <c r="AE98" s="950">
        <v>6</v>
      </c>
      <c r="AF98" s="955">
        <f>(F98/4)/(W98/1000)+1</f>
        <v>13.5</v>
      </c>
      <c r="AG98" s="955">
        <f t="shared" si="130"/>
        <v>51</v>
      </c>
      <c r="AH98" s="955">
        <f t="shared" si="153"/>
        <v>26</v>
      </c>
      <c r="AI98" s="955">
        <v>0</v>
      </c>
      <c r="AJ98" s="955">
        <v>0</v>
      </c>
      <c r="AK98" s="948">
        <f t="shared" si="131"/>
        <v>3.3000000000000003</v>
      </c>
      <c r="AL98" s="948">
        <f t="shared" si="132"/>
        <v>3.3000000000000003</v>
      </c>
      <c r="AM98" s="948">
        <f t="shared" si="133"/>
        <v>5.5120000000000005</v>
      </c>
      <c r="AN98" s="948">
        <f t="shared" si="134"/>
        <v>5.5120000000000005</v>
      </c>
      <c r="AO98" s="948">
        <f t="shared" si="135"/>
        <v>3.3000000000000003</v>
      </c>
      <c r="AP98" s="948">
        <f t="shared" si="136"/>
        <v>3.3000000000000003</v>
      </c>
      <c r="AQ98" s="948">
        <f t="shared" si="137"/>
        <v>1.508</v>
      </c>
      <c r="AR98" s="948">
        <f t="shared" si="138"/>
        <v>0</v>
      </c>
      <c r="AS98" s="948">
        <f t="shared" si="139"/>
        <v>0</v>
      </c>
      <c r="AT98" s="948">
        <f t="shared" si="156"/>
        <v>29.700000000000003</v>
      </c>
      <c r="AU98" s="948">
        <f t="shared" si="140"/>
        <v>19.8</v>
      </c>
      <c r="AV98" s="948">
        <f t="shared" si="141"/>
        <v>22.048000000000002</v>
      </c>
      <c r="AW98" s="948">
        <f t="shared" si="142"/>
        <v>22.048000000000002</v>
      </c>
      <c r="AX98" s="948">
        <f t="shared" si="143"/>
        <v>29.700000000000003</v>
      </c>
      <c r="AY98" s="948">
        <f t="shared" si="144"/>
        <v>19.8</v>
      </c>
      <c r="AZ98" s="948">
        <f t="shared" si="145"/>
        <v>136.47399999999999</v>
      </c>
      <c r="BA98" s="948">
        <f t="shared" si="146"/>
        <v>0</v>
      </c>
      <c r="BB98" s="948">
        <f t="shared" si="147"/>
        <v>0</v>
      </c>
      <c r="BC98" s="957">
        <f t="shared" si="148"/>
        <v>1.5786666666666667</v>
      </c>
      <c r="BD98" s="957">
        <f t="shared" si="148"/>
        <v>1.5786666666666667</v>
      </c>
      <c r="BE98" s="957">
        <f t="shared" si="148"/>
        <v>1.5786666666666667</v>
      </c>
      <c r="BF98" s="957">
        <f t="shared" si="148"/>
        <v>1.5786666666666667</v>
      </c>
      <c r="BG98" s="957">
        <f t="shared" si="148"/>
        <v>1.5786666666666667</v>
      </c>
      <c r="BH98" s="957">
        <f t="shared" si="148"/>
        <v>1.5786666666666667</v>
      </c>
      <c r="BI98" s="957">
        <f t="shared" si="148"/>
        <v>0.39466666666666667</v>
      </c>
      <c r="BJ98" s="957">
        <f t="shared" si="148"/>
        <v>0</v>
      </c>
      <c r="BK98" s="957">
        <f t="shared" si="149"/>
        <v>0</v>
      </c>
      <c r="BL98" s="948">
        <f t="shared" si="155"/>
        <v>46.886400000000002</v>
      </c>
      <c r="BM98" s="948">
        <f t="shared" si="150"/>
        <v>31.2576</v>
      </c>
      <c r="BN98" s="948">
        <f t="shared" si="150"/>
        <v>34.806442666666669</v>
      </c>
      <c r="BO98" s="948">
        <f t="shared" si="150"/>
        <v>34.806442666666669</v>
      </c>
      <c r="BP98" s="948">
        <f t="shared" si="150"/>
        <v>46.886400000000002</v>
      </c>
      <c r="BQ98" s="948">
        <f t="shared" si="150"/>
        <v>31.2576</v>
      </c>
      <c r="BR98" s="948">
        <f t="shared" si="150"/>
        <v>53.86173866666666</v>
      </c>
      <c r="BS98" s="948"/>
      <c r="BT98" s="955">
        <f t="shared" si="152"/>
        <v>233.13552000000001</v>
      </c>
    </row>
    <row r="99" spans="1:72">
      <c r="A99" s="952">
        <v>11</v>
      </c>
      <c r="B99" s="952" t="s">
        <v>1137</v>
      </c>
      <c r="C99" s="950" t="s">
        <v>1091</v>
      </c>
      <c r="D99" s="950">
        <v>1</v>
      </c>
      <c r="E99" s="950">
        <v>1</v>
      </c>
      <c r="F99" s="948">
        <f>7.2*2</f>
        <v>14.4</v>
      </c>
      <c r="G99" s="948">
        <v>0.3</v>
      </c>
      <c r="H99" s="948">
        <v>0.7</v>
      </c>
      <c r="I99" s="948">
        <v>0.12</v>
      </c>
      <c r="J99" s="948">
        <f t="shared" si="126"/>
        <v>0.57999999999999996</v>
      </c>
      <c r="K99" s="948">
        <f t="shared" ref="K99" si="157">F99*G99*J99*D99*E99</f>
        <v>2.5055999999999998</v>
      </c>
      <c r="L99" s="948">
        <f>(2*J99)*F99*E99*D99</f>
        <v>16.704000000000001</v>
      </c>
      <c r="M99" s="952"/>
      <c r="N99" s="950">
        <v>19</v>
      </c>
      <c r="O99" s="950">
        <v>19</v>
      </c>
      <c r="P99" s="950">
        <v>19</v>
      </c>
      <c r="Q99" s="950">
        <v>19</v>
      </c>
      <c r="R99" s="950">
        <v>19</v>
      </c>
      <c r="S99" s="950">
        <v>19</v>
      </c>
      <c r="T99" s="950">
        <v>8</v>
      </c>
      <c r="U99" s="950"/>
      <c r="V99" s="950"/>
      <c r="W99" s="950">
        <v>200</v>
      </c>
      <c r="X99" s="950">
        <v>100</v>
      </c>
      <c r="Y99" s="950">
        <v>100</v>
      </c>
      <c r="Z99" s="950">
        <v>9</v>
      </c>
      <c r="AA99" s="950">
        <v>6</v>
      </c>
      <c r="AB99" s="950">
        <v>4</v>
      </c>
      <c r="AC99" s="950">
        <v>4</v>
      </c>
      <c r="AD99" s="950">
        <v>9</v>
      </c>
      <c r="AE99" s="950">
        <v>6</v>
      </c>
      <c r="AF99" s="955">
        <f t="shared" ref="AF99:AF100" si="158">(F99/4)/(W99/1000)+1</f>
        <v>19</v>
      </c>
      <c r="AG99" s="955">
        <f t="shared" si="130"/>
        <v>73</v>
      </c>
      <c r="AH99" s="955">
        <f t="shared" si="153"/>
        <v>37</v>
      </c>
      <c r="AI99" s="955">
        <v>0</v>
      </c>
      <c r="AJ99" s="955">
        <v>0</v>
      </c>
      <c r="AK99" s="948">
        <f t="shared" si="131"/>
        <v>4.55</v>
      </c>
      <c r="AL99" s="948">
        <f t="shared" si="132"/>
        <v>4.55</v>
      </c>
      <c r="AM99" s="948">
        <f t="shared" si="133"/>
        <v>7.8079999999999998</v>
      </c>
      <c r="AN99" s="948">
        <f t="shared" si="134"/>
        <v>7.8079999999999998</v>
      </c>
      <c r="AO99" s="948">
        <f t="shared" si="135"/>
        <v>4.55</v>
      </c>
      <c r="AP99" s="948">
        <f t="shared" si="136"/>
        <v>4.55</v>
      </c>
      <c r="AQ99" s="948">
        <f t="shared" si="137"/>
        <v>1.8080000000000001</v>
      </c>
      <c r="AR99" s="948">
        <f t="shared" si="138"/>
        <v>0</v>
      </c>
      <c r="AS99" s="948">
        <f t="shared" si="139"/>
        <v>0</v>
      </c>
      <c r="AT99" s="948">
        <f t="shared" si="156"/>
        <v>40.949999999999996</v>
      </c>
      <c r="AU99" s="948">
        <f t="shared" si="140"/>
        <v>27.299999999999997</v>
      </c>
      <c r="AV99" s="948">
        <f t="shared" si="141"/>
        <v>31.231999999999999</v>
      </c>
      <c r="AW99" s="948">
        <f t="shared" si="142"/>
        <v>31.231999999999999</v>
      </c>
      <c r="AX99" s="948">
        <f t="shared" si="143"/>
        <v>40.949999999999996</v>
      </c>
      <c r="AY99" s="948">
        <f t="shared" si="144"/>
        <v>27.299999999999997</v>
      </c>
      <c r="AZ99" s="948">
        <f t="shared" si="145"/>
        <v>233.232</v>
      </c>
      <c r="BA99" s="948">
        <f t="shared" si="146"/>
        <v>0</v>
      </c>
      <c r="BB99" s="948">
        <f t="shared" si="147"/>
        <v>0</v>
      </c>
      <c r="BC99" s="957">
        <f t="shared" si="148"/>
        <v>2.2261666666666664</v>
      </c>
      <c r="BD99" s="957">
        <f t="shared" si="148"/>
        <v>2.2261666666666664</v>
      </c>
      <c r="BE99" s="957">
        <f t="shared" si="148"/>
        <v>2.2261666666666664</v>
      </c>
      <c r="BF99" s="957">
        <f t="shared" si="148"/>
        <v>2.2261666666666664</v>
      </c>
      <c r="BG99" s="957">
        <f t="shared" si="148"/>
        <v>2.2261666666666664</v>
      </c>
      <c r="BH99" s="957">
        <f t="shared" si="148"/>
        <v>2.2261666666666664</v>
      </c>
      <c r="BI99" s="957">
        <f t="shared" si="148"/>
        <v>0.39466666666666667</v>
      </c>
      <c r="BJ99" s="957">
        <f t="shared" si="148"/>
        <v>0</v>
      </c>
      <c r="BK99" s="957">
        <f t="shared" si="149"/>
        <v>0</v>
      </c>
      <c r="BL99" s="948">
        <f t="shared" si="155"/>
        <v>91.161524999999983</v>
      </c>
      <c r="BM99" s="948">
        <f t="shared" si="150"/>
        <v>60.774349999999984</v>
      </c>
      <c r="BN99" s="948">
        <f t="shared" si="150"/>
        <v>69.527637333333317</v>
      </c>
      <c r="BO99" s="948">
        <f t="shared" si="150"/>
        <v>69.527637333333317</v>
      </c>
      <c r="BP99" s="948">
        <f t="shared" si="150"/>
        <v>91.161524999999983</v>
      </c>
      <c r="BQ99" s="948">
        <f t="shared" si="150"/>
        <v>60.774349999999984</v>
      </c>
      <c r="BR99" s="948">
        <f t="shared" si="150"/>
        <v>92.048895999999999</v>
      </c>
      <c r="BS99" s="948">
        <f>BB99*BK99</f>
        <v>0</v>
      </c>
      <c r="BT99" s="955">
        <f t="shared" si="152"/>
        <v>213.51210116006808</v>
      </c>
    </row>
    <row r="100" spans="1:72">
      <c r="A100" s="952">
        <v>12</v>
      </c>
      <c r="B100" s="952" t="s">
        <v>1138</v>
      </c>
      <c r="C100" s="950" t="s">
        <v>1139</v>
      </c>
      <c r="D100" s="950">
        <v>1</v>
      </c>
      <c r="E100" s="950">
        <v>1</v>
      </c>
      <c r="F100" s="948">
        <f>5.6+8</f>
        <v>13.6</v>
      </c>
      <c r="G100" s="948">
        <v>0.35</v>
      </c>
      <c r="H100" s="948">
        <v>0.8</v>
      </c>
      <c r="I100" s="948">
        <v>0.12</v>
      </c>
      <c r="J100" s="948">
        <f t="shared" si="126"/>
        <v>0.68</v>
      </c>
      <c r="K100" s="948">
        <f>F100*G100*J100*D100*E100</f>
        <v>3.2368000000000001</v>
      </c>
      <c r="L100" s="948">
        <f>(2*J100)*D100*E100*F100</f>
        <v>18.496000000000002</v>
      </c>
      <c r="M100" s="952"/>
      <c r="N100" s="950">
        <v>25</v>
      </c>
      <c r="O100" s="950">
        <v>25</v>
      </c>
      <c r="P100" s="950">
        <v>25</v>
      </c>
      <c r="Q100" s="950">
        <v>25</v>
      </c>
      <c r="R100" s="950">
        <v>25</v>
      </c>
      <c r="S100" s="950">
        <v>25</v>
      </c>
      <c r="T100" s="950">
        <v>8</v>
      </c>
      <c r="U100" s="950"/>
      <c r="V100" s="950"/>
      <c r="W100" s="950">
        <v>200</v>
      </c>
      <c r="X100" s="950">
        <v>100</v>
      </c>
      <c r="Y100" s="950">
        <v>100</v>
      </c>
      <c r="Z100" s="950">
        <v>9</v>
      </c>
      <c r="AA100" s="950">
        <v>6</v>
      </c>
      <c r="AB100" s="950">
        <v>4</v>
      </c>
      <c r="AC100" s="950">
        <v>4</v>
      </c>
      <c r="AD100" s="950">
        <v>9</v>
      </c>
      <c r="AE100" s="950">
        <v>6</v>
      </c>
      <c r="AF100" s="955">
        <f t="shared" si="158"/>
        <v>18</v>
      </c>
      <c r="AG100" s="955">
        <f t="shared" si="130"/>
        <v>69</v>
      </c>
      <c r="AH100" s="955">
        <f t="shared" si="153"/>
        <v>35</v>
      </c>
      <c r="AI100" s="955">
        <v>0</v>
      </c>
      <c r="AJ100" s="955">
        <v>0</v>
      </c>
      <c r="AK100" s="948">
        <f t="shared" si="131"/>
        <v>4.6500000000000004</v>
      </c>
      <c r="AL100" s="948">
        <f t="shared" si="132"/>
        <v>4.6500000000000004</v>
      </c>
      <c r="AM100" s="948">
        <f t="shared" si="133"/>
        <v>7.6</v>
      </c>
      <c r="AN100" s="948">
        <f t="shared" si="134"/>
        <v>7.6</v>
      </c>
      <c r="AO100" s="948">
        <f t="shared" si="135"/>
        <v>4.6500000000000004</v>
      </c>
      <c r="AP100" s="948">
        <f t="shared" si="136"/>
        <v>4.6500000000000004</v>
      </c>
      <c r="AQ100" s="948">
        <f t="shared" si="137"/>
        <v>2.1079999999999997</v>
      </c>
      <c r="AR100" s="948">
        <f t="shared" si="138"/>
        <v>0</v>
      </c>
      <c r="AS100" s="948">
        <f t="shared" si="139"/>
        <v>0</v>
      </c>
      <c r="AT100" s="948">
        <f t="shared" si="156"/>
        <v>41.85</v>
      </c>
      <c r="AU100" s="948">
        <f t="shared" si="140"/>
        <v>27.900000000000002</v>
      </c>
      <c r="AV100" s="948">
        <f t="shared" si="141"/>
        <v>30.4</v>
      </c>
      <c r="AW100" s="948">
        <f t="shared" si="142"/>
        <v>30.4</v>
      </c>
      <c r="AX100" s="948">
        <f t="shared" si="143"/>
        <v>41.85</v>
      </c>
      <c r="AY100" s="948">
        <f t="shared" si="144"/>
        <v>27.900000000000002</v>
      </c>
      <c r="AZ100" s="948">
        <f t="shared" si="145"/>
        <v>257.17599999999993</v>
      </c>
      <c r="BA100" s="948">
        <f t="shared" si="146"/>
        <v>0</v>
      </c>
      <c r="BB100" s="948">
        <f t="shared" si="147"/>
        <v>0</v>
      </c>
      <c r="BC100" s="957">
        <f t="shared" si="148"/>
        <v>3.8541666666666665</v>
      </c>
      <c r="BD100" s="957">
        <f t="shared" si="148"/>
        <v>3.8541666666666665</v>
      </c>
      <c r="BE100" s="957">
        <f t="shared" si="148"/>
        <v>3.8541666666666665</v>
      </c>
      <c r="BF100" s="957">
        <f t="shared" si="148"/>
        <v>3.8541666666666665</v>
      </c>
      <c r="BG100" s="957">
        <f t="shared" si="148"/>
        <v>3.8541666666666665</v>
      </c>
      <c r="BH100" s="957">
        <f t="shared" si="148"/>
        <v>3.8541666666666665</v>
      </c>
      <c r="BI100" s="957">
        <f t="shared" si="148"/>
        <v>0.39466666666666667</v>
      </c>
      <c r="BJ100" s="957">
        <f t="shared" si="148"/>
        <v>0</v>
      </c>
      <c r="BK100" s="957">
        <f t="shared" si="149"/>
        <v>0</v>
      </c>
      <c r="BL100" s="948">
        <f t="shared" si="155"/>
        <v>161.296875</v>
      </c>
      <c r="BM100" s="948">
        <f t="shared" si="150"/>
        <v>107.53125</v>
      </c>
      <c r="BN100" s="948">
        <f t="shared" si="150"/>
        <v>117.16666666666666</v>
      </c>
      <c r="BO100" s="948">
        <f t="shared" si="150"/>
        <v>117.16666666666666</v>
      </c>
      <c r="BP100" s="948">
        <f t="shared" si="150"/>
        <v>161.296875</v>
      </c>
      <c r="BQ100" s="948">
        <f t="shared" si="150"/>
        <v>107.53125</v>
      </c>
      <c r="BR100" s="948">
        <f t="shared" si="150"/>
        <v>101.49879466666664</v>
      </c>
      <c r="BS100" s="948">
        <f>BB100*BK100</f>
        <v>0</v>
      </c>
      <c r="BT100" s="955">
        <f t="shared" si="152"/>
        <v>269.86170847750861</v>
      </c>
    </row>
    <row r="101" spans="1:72">
      <c r="A101" s="952"/>
      <c r="B101" s="952"/>
      <c r="C101" s="950"/>
      <c r="D101" s="950"/>
      <c r="E101" s="950"/>
      <c r="F101" s="948"/>
      <c r="G101" s="948"/>
      <c r="H101" s="948"/>
      <c r="I101" s="948"/>
      <c r="J101" s="948"/>
      <c r="K101" s="948"/>
      <c r="L101" s="948"/>
      <c r="M101" s="952"/>
      <c r="N101" s="959"/>
      <c r="O101" s="959"/>
      <c r="P101" s="950"/>
      <c r="Q101" s="950"/>
      <c r="R101" s="950"/>
      <c r="S101" s="950"/>
      <c r="T101" s="950"/>
      <c r="U101" s="950"/>
      <c r="V101" s="950"/>
      <c r="W101" s="950"/>
      <c r="X101" s="950"/>
      <c r="Y101" s="950"/>
      <c r="Z101" s="950"/>
      <c r="AA101" s="950"/>
      <c r="AB101" s="950"/>
      <c r="AC101" s="950"/>
      <c r="AD101" s="950"/>
      <c r="AE101" s="950"/>
      <c r="AF101" s="955"/>
      <c r="AG101" s="955"/>
      <c r="AH101" s="955"/>
      <c r="AI101" s="955"/>
      <c r="AJ101" s="955"/>
      <c r="AK101" s="948"/>
      <c r="AL101" s="948"/>
      <c r="AM101" s="948"/>
      <c r="AN101" s="948"/>
      <c r="AO101" s="948"/>
      <c r="AP101" s="948"/>
      <c r="AQ101" s="948"/>
      <c r="AR101" s="948"/>
      <c r="AS101" s="948"/>
      <c r="AT101" s="948"/>
      <c r="AU101" s="948"/>
      <c r="AV101" s="948"/>
      <c r="AW101" s="948"/>
      <c r="AX101" s="948"/>
      <c r="AY101" s="948"/>
      <c r="AZ101" s="948"/>
      <c r="BA101" s="948"/>
      <c r="BB101" s="948"/>
      <c r="BC101" s="957"/>
      <c r="BD101" s="957"/>
      <c r="BE101" s="957"/>
      <c r="BF101" s="957"/>
      <c r="BG101" s="957"/>
      <c r="BH101" s="957"/>
      <c r="BI101" s="957"/>
      <c r="BJ101" s="957"/>
      <c r="BK101" s="957"/>
      <c r="BL101" s="948"/>
      <c r="BM101" s="948"/>
      <c r="BN101" s="948"/>
      <c r="BO101" s="948"/>
      <c r="BP101" s="948"/>
      <c r="BQ101" s="948"/>
      <c r="BR101" s="948"/>
      <c r="BS101" s="948"/>
      <c r="BT101" s="955"/>
    </row>
    <row r="102" spans="1:72">
      <c r="A102" s="960" t="s">
        <v>8</v>
      </c>
      <c r="B102" s="960" t="s">
        <v>1104</v>
      </c>
      <c r="C102" s="950"/>
      <c r="D102" s="950"/>
      <c r="E102" s="950"/>
      <c r="F102" s="948"/>
      <c r="G102" s="948"/>
      <c r="H102" s="948"/>
      <c r="I102" s="948"/>
      <c r="J102" s="948"/>
      <c r="K102" s="948"/>
      <c r="L102" s="948"/>
      <c r="M102" s="952"/>
      <c r="N102" s="959" t="str">
        <f>A102</f>
        <v>B</v>
      </c>
      <c r="O102" s="959" t="str">
        <f>B102</f>
        <v>Horizontal</v>
      </c>
      <c r="P102" s="950"/>
      <c r="Q102" s="950"/>
      <c r="R102" s="950"/>
      <c r="S102" s="950"/>
      <c r="T102" s="950"/>
      <c r="U102" s="950"/>
      <c r="V102" s="950"/>
      <c r="W102" s="950"/>
      <c r="X102" s="950"/>
      <c r="Y102" s="950"/>
      <c r="Z102" s="950"/>
      <c r="AA102" s="950"/>
      <c r="AB102" s="950"/>
      <c r="AC102" s="950"/>
      <c r="AD102" s="950"/>
      <c r="AE102" s="950"/>
      <c r="AF102" s="955"/>
      <c r="AG102" s="955"/>
      <c r="AH102" s="955"/>
      <c r="AI102" s="955"/>
      <c r="AJ102" s="955"/>
      <c r="AK102" s="948"/>
      <c r="AL102" s="948"/>
      <c r="AM102" s="948"/>
      <c r="AN102" s="948"/>
      <c r="AO102" s="948"/>
      <c r="AP102" s="948"/>
      <c r="AQ102" s="948"/>
      <c r="AR102" s="948"/>
      <c r="AS102" s="948"/>
      <c r="AT102" s="948"/>
      <c r="AU102" s="948"/>
      <c r="AV102" s="948"/>
      <c r="AW102" s="948"/>
      <c r="AX102" s="948"/>
      <c r="AY102" s="948"/>
      <c r="AZ102" s="948"/>
      <c r="BA102" s="948"/>
      <c r="BB102" s="948"/>
      <c r="BC102" s="957"/>
      <c r="BD102" s="957"/>
      <c r="BE102" s="957"/>
      <c r="BF102" s="957"/>
      <c r="BG102" s="957"/>
      <c r="BH102" s="957"/>
      <c r="BI102" s="957"/>
      <c r="BJ102" s="957"/>
      <c r="BK102" s="957"/>
      <c r="BL102" s="948"/>
      <c r="BM102" s="948"/>
      <c r="BN102" s="948"/>
      <c r="BO102" s="948"/>
      <c r="BP102" s="948"/>
      <c r="BQ102" s="948"/>
      <c r="BR102" s="948"/>
      <c r="BS102" s="948"/>
      <c r="BT102" s="955"/>
    </row>
    <row r="103" spans="1:72">
      <c r="A103" s="952">
        <v>1</v>
      </c>
      <c r="B103" s="952" t="s">
        <v>1105</v>
      </c>
      <c r="C103" s="950" t="s">
        <v>1106</v>
      </c>
      <c r="D103" s="950">
        <v>1</v>
      </c>
      <c r="E103" s="950">
        <v>1</v>
      </c>
      <c r="F103" s="948">
        <v>72</v>
      </c>
      <c r="G103" s="948">
        <v>0.3</v>
      </c>
      <c r="H103" s="948">
        <v>0.65</v>
      </c>
      <c r="I103" s="948">
        <v>0.12</v>
      </c>
      <c r="J103" s="948">
        <f t="shared" ref="J103:J115" si="159">H103-I103</f>
        <v>0.53</v>
      </c>
      <c r="K103" s="948">
        <f t="shared" ref="K103" si="160">F103*G103*J103*D103*E103</f>
        <v>11.447999999999999</v>
      </c>
      <c r="L103" s="948">
        <f>(2*J103)*F103*E103*D103</f>
        <v>76.320000000000007</v>
      </c>
      <c r="M103" s="952"/>
      <c r="N103" s="950">
        <v>16</v>
      </c>
      <c r="O103" s="950">
        <v>16</v>
      </c>
      <c r="P103" s="950">
        <v>16</v>
      </c>
      <c r="Q103" s="950">
        <v>16</v>
      </c>
      <c r="R103" s="950">
        <v>16</v>
      </c>
      <c r="S103" s="950">
        <v>16</v>
      </c>
      <c r="T103" s="950">
        <v>8</v>
      </c>
      <c r="U103" s="950"/>
      <c r="V103" s="950"/>
      <c r="W103" s="950">
        <v>200</v>
      </c>
      <c r="X103" s="950">
        <v>100</v>
      </c>
      <c r="Y103" s="950">
        <f>X103</f>
        <v>100</v>
      </c>
      <c r="Z103" s="950">
        <v>9</v>
      </c>
      <c r="AA103" s="950">
        <v>6</v>
      </c>
      <c r="AB103" s="950">
        <v>16</v>
      </c>
      <c r="AC103" s="950">
        <v>16</v>
      </c>
      <c r="AD103" s="950">
        <v>9</v>
      </c>
      <c r="AE103" s="950">
        <v>6</v>
      </c>
      <c r="AF103" s="955">
        <f t="shared" ref="AF103:AF115" si="161">(F103/4)/(W103/1000)+1</f>
        <v>91</v>
      </c>
      <c r="AG103" s="955">
        <f t="shared" ref="AG103:AG115" si="162">(F103/2)/(X103/1000)+1</f>
        <v>361</v>
      </c>
      <c r="AH103" s="955">
        <f t="shared" ref="AH103:AH115" si="163">(F103/4)/(Y103/1000)+1</f>
        <v>181</v>
      </c>
      <c r="AI103" s="955">
        <v>0</v>
      </c>
      <c r="AJ103" s="955">
        <v>0</v>
      </c>
      <c r="AK103" s="948">
        <f t="shared" ref="AK103:AK115" si="164">(F103/4)+(20*N103/1000)+(10*N103/1000)+(8*N103/1000)+(6*2*N103/1000)</f>
        <v>18.8</v>
      </c>
      <c r="AL103" s="948">
        <f t="shared" ref="AL103:AL115" si="165">(F103/4)+(20*O103/1000)+(10*O103/1000)+(8*O103/1000)+(6*2*O103/1000)</f>
        <v>18.8</v>
      </c>
      <c r="AM103" s="948">
        <f t="shared" ref="AM103:AM115" si="166">(F103/2)+(20*P103/1000)+(6*2*P103/1000)</f>
        <v>36.512</v>
      </c>
      <c r="AN103" s="948">
        <f t="shared" ref="AN103:AN115" si="167">(F103/2)+(20*Q103/1000)+(6*2*Q103/1000)</f>
        <v>36.512</v>
      </c>
      <c r="AO103" s="948">
        <f t="shared" ref="AO103:AO115" si="168">(F103/4)+(20*R103/1000)+(10*R103/1000)+(8*R103/1000)+(6*2*R103/1000)</f>
        <v>18.8</v>
      </c>
      <c r="AP103" s="948">
        <f t="shared" ref="AP103:AP115" si="169">(F103/4)+(20*S103/1000)+(10*S103/1000)+(8*S103/1000)+(6*2*S103/1000)</f>
        <v>18.8</v>
      </c>
      <c r="AQ103" s="948">
        <f t="shared" ref="AQ103:AQ115" si="170">(2*G103)+(2*H103)+(6*T103/1000)-(8*0.03)</f>
        <v>1.708</v>
      </c>
      <c r="AR103" s="948">
        <f t="shared" ref="AR103:AR107" si="171">((H103)+(2*6*U103/1000)-(2*0.03))*AI103</f>
        <v>0</v>
      </c>
      <c r="AS103" s="948">
        <f t="shared" ref="AS103:AS115" si="172">((G103)+(2*6*V103/1000)-(2*0.03))*AJ103</f>
        <v>0</v>
      </c>
      <c r="AT103" s="948">
        <f t="shared" ref="AT103:AT115" si="173">AK103*Z103*E103*D103</f>
        <v>169.20000000000002</v>
      </c>
      <c r="AU103" s="948">
        <f t="shared" ref="AU103:AU115" si="174">AL103*AA103*E103*D103</f>
        <v>112.80000000000001</v>
      </c>
      <c r="AV103" s="948">
        <f t="shared" ref="AV103:AV115" si="175">AM103*AB103*E103*D103</f>
        <v>584.19200000000001</v>
      </c>
      <c r="AW103" s="948">
        <f t="shared" ref="AW103:AW115" si="176">AN103*AC103*E103*D103</f>
        <v>584.19200000000001</v>
      </c>
      <c r="AX103" s="948">
        <f t="shared" ref="AX103:AX115" si="177">AO103*AD103*E103*D103</f>
        <v>169.20000000000002</v>
      </c>
      <c r="AY103" s="948">
        <f t="shared" ref="AY103:AY115" si="178">AP103*AE103*E103*D103</f>
        <v>112.80000000000001</v>
      </c>
      <c r="AZ103" s="948">
        <f t="shared" ref="AZ103:AZ115" si="179">AQ103*(AF103+AG103+AH103)*E103*D103</f>
        <v>1081.164</v>
      </c>
      <c r="BA103" s="948">
        <f t="shared" ref="BA103:BA115" si="180">AR103*(AF103+AG103+AH103)*E103*D103</f>
        <v>0</v>
      </c>
      <c r="BB103" s="948">
        <f t="shared" ref="BB103:BB115" si="181">AS103*(AF103+AG103+AH103)*E103*D103</f>
        <v>0</v>
      </c>
      <c r="BC103" s="957">
        <f t="shared" ref="BC103:BK115" si="182">N103*N103*0.074/12</f>
        <v>1.5786666666666667</v>
      </c>
      <c r="BD103" s="957">
        <f t="shared" si="182"/>
        <v>1.5786666666666667</v>
      </c>
      <c r="BE103" s="957">
        <f t="shared" si="182"/>
        <v>1.5786666666666667</v>
      </c>
      <c r="BF103" s="957">
        <f t="shared" si="182"/>
        <v>1.5786666666666667</v>
      </c>
      <c r="BG103" s="957">
        <f t="shared" si="182"/>
        <v>1.5786666666666667</v>
      </c>
      <c r="BH103" s="957">
        <f t="shared" si="182"/>
        <v>1.5786666666666667</v>
      </c>
      <c r="BI103" s="957">
        <f t="shared" si="182"/>
        <v>0.39466666666666667</v>
      </c>
      <c r="BJ103" s="957">
        <f t="shared" si="182"/>
        <v>0</v>
      </c>
      <c r="BK103" s="957">
        <f t="shared" si="182"/>
        <v>0</v>
      </c>
      <c r="BL103" s="948">
        <f t="shared" ref="BL103:BR115" si="183">AT103*BC103</f>
        <v>267.11040000000003</v>
      </c>
      <c r="BM103" s="948">
        <f t="shared" si="183"/>
        <v>178.07360000000003</v>
      </c>
      <c r="BN103" s="948">
        <f t="shared" si="183"/>
        <v>922.24443733333339</v>
      </c>
      <c r="BO103" s="948">
        <f t="shared" si="183"/>
        <v>922.24443733333339</v>
      </c>
      <c r="BP103" s="948">
        <f t="shared" si="183"/>
        <v>267.11040000000003</v>
      </c>
      <c r="BQ103" s="948">
        <f t="shared" si="183"/>
        <v>178.07360000000003</v>
      </c>
      <c r="BR103" s="948">
        <f>AZ103*BI103</f>
        <v>426.69939199999999</v>
      </c>
      <c r="BS103" s="948">
        <f t="shared" ref="BS103:BS115" si="184">BB103*BK103</f>
        <v>0</v>
      </c>
      <c r="BT103" s="955">
        <f t="shared" ref="BT103:BT115" si="185">SUM(BL103:BS103)/K103</f>
        <v>276.16668996040073</v>
      </c>
    </row>
    <row r="104" spans="1:72">
      <c r="A104" s="952">
        <v>2</v>
      </c>
      <c r="B104" s="952" t="s">
        <v>1107</v>
      </c>
      <c r="C104" s="950" t="s">
        <v>1108</v>
      </c>
      <c r="D104" s="950">
        <v>1</v>
      </c>
      <c r="E104" s="950">
        <v>1</v>
      </c>
      <c r="F104" s="948">
        <v>64</v>
      </c>
      <c r="G104" s="948">
        <v>0.3</v>
      </c>
      <c r="H104" s="948">
        <v>0.65</v>
      </c>
      <c r="I104" s="948">
        <v>0.12</v>
      </c>
      <c r="J104" s="948">
        <f t="shared" si="159"/>
        <v>0.53</v>
      </c>
      <c r="K104" s="948">
        <f>F104*G104*J104*D104*E104</f>
        <v>10.176</v>
      </c>
      <c r="L104" s="948">
        <f t="shared" ref="L104:L115" si="186">(2*J104)*F104*E104*D104</f>
        <v>67.84</v>
      </c>
      <c r="M104" s="952"/>
      <c r="N104" s="950">
        <v>16</v>
      </c>
      <c r="O104" s="950">
        <v>16</v>
      </c>
      <c r="P104" s="950">
        <v>16</v>
      </c>
      <c r="Q104" s="950">
        <v>16</v>
      </c>
      <c r="R104" s="950">
        <v>16</v>
      </c>
      <c r="S104" s="950">
        <v>16</v>
      </c>
      <c r="T104" s="950">
        <v>8</v>
      </c>
      <c r="U104" s="950"/>
      <c r="V104" s="950"/>
      <c r="W104" s="950">
        <v>200</v>
      </c>
      <c r="X104" s="950">
        <v>100</v>
      </c>
      <c r="Y104" s="950">
        <v>100</v>
      </c>
      <c r="Z104" s="950">
        <v>4</v>
      </c>
      <c r="AA104" s="950">
        <v>4</v>
      </c>
      <c r="AB104" s="950">
        <v>2</v>
      </c>
      <c r="AC104" s="950">
        <v>2</v>
      </c>
      <c r="AD104" s="950">
        <v>4</v>
      </c>
      <c r="AE104" s="950">
        <v>4</v>
      </c>
      <c r="AF104" s="955">
        <f t="shared" si="161"/>
        <v>81</v>
      </c>
      <c r="AG104" s="955">
        <f t="shared" si="162"/>
        <v>321</v>
      </c>
      <c r="AH104" s="955">
        <f t="shared" si="163"/>
        <v>161</v>
      </c>
      <c r="AI104" s="955">
        <v>0</v>
      </c>
      <c r="AJ104" s="955">
        <v>0</v>
      </c>
      <c r="AK104" s="948">
        <f t="shared" si="164"/>
        <v>16.8</v>
      </c>
      <c r="AL104" s="948">
        <f t="shared" si="165"/>
        <v>16.8</v>
      </c>
      <c r="AM104" s="948">
        <f t="shared" si="166"/>
        <v>32.512</v>
      </c>
      <c r="AN104" s="948">
        <f t="shared" si="167"/>
        <v>32.512</v>
      </c>
      <c r="AO104" s="948">
        <f t="shared" si="168"/>
        <v>16.8</v>
      </c>
      <c r="AP104" s="948">
        <f t="shared" si="169"/>
        <v>16.8</v>
      </c>
      <c r="AQ104" s="948">
        <f t="shared" si="170"/>
        <v>1.708</v>
      </c>
      <c r="AR104" s="948">
        <f t="shared" si="171"/>
        <v>0</v>
      </c>
      <c r="AS104" s="948">
        <f t="shared" si="172"/>
        <v>0</v>
      </c>
      <c r="AT104" s="948">
        <f t="shared" si="173"/>
        <v>67.2</v>
      </c>
      <c r="AU104" s="948">
        <f t="shared" si="174"/>
        <v>67.2</v>
      </c>
      <c r="AV104" s="948">
        <f t="shared" si="175"/>
        <v>65.024000000000001</v>
      </c>
      <c r="AW104" s="948">
        <f t="shared" si="176"/>
        <v>65.024000000000001</v>
      </c>
      <c r="AX104" s="948">
        <f t="shared" si="177"/>
        <v>67.2</v>
      </c>
      <c r="AY104" s="948">
        <f t="shared" si="178"/>
        <v>67.2</v>
      </c>
      <c r="AZ104" s="948">
        <f t="shared" si="179"/>
        <v>961.60399999999993</v>
      </c>
      <c r="BA104" s="948">
        <f t="shared" si="180"/>
        <v>0</v>
      </c>
      <c r="BB104" s="948">
        <f t="shared" si="181"/>
        <v>0</v>
      </c>
      <c r="BC104" s="957">
        <f t="shared" si="182"/>
        <v>1.5786666666666667</v>
      </c>
      <c r="BD104" s="957">
        <f t="shared" si="182"/>
        <v>1.5786666666666667</v>
      </c>
      <c r="BE104" s="957">
        <f t="shared" si="182"/>
        <v>1.5786666666666667</v>
      </c>
      <c r="BF104" s="957">
        <f t="shared" si="182"/>
        <v>1.5786666666666667</v>
      </c>
      <c r="BG104" s="957">
        <f t="shared" si="182"/>
        <v>1.5786666666666667</v>
      </c>
      <c r="BH104" s="957">
        <f t="shared" si="182"/>
        <v>1.5786666666666667</v>
      </c>
      <c r="BI104" s="957">
        <f t="shared" si="182"/>
        <v>0.39466666666666667</v>
      </c>
      <c r="BJ104" s="957">
        <f t="shared" si="182"/>
        <v>0</v>
      </c>
      <c r="BK104" s="957">
        <f t="shared" si="182"/>
        <v>0</v>
      </c>
      <c r="BL104" s="948">
        <f t="shared" si="183"/>
        <v>106.0864</v>
      </c>
      <c r="BM104" s="948">
        <f t="shared" si="183"/>
        <v>106.0864</v>
      </c>
      <c r="BN104" s="948">
        <f t="shared" si="183"/>
        <v>102.65122133333334</v>
      </c>
      <c r="BO104" s="948">
        <f t="shared" si="183"/>
        <v>102.65122133333334</v>
      </c>
      <c r="BP104" s="948">
        <f t="shared" si="183"/>
        <v>106.0864</v>
      </c>
      <c r="BQ104" s="948">
        <f t="shared" si="183"/>
        <v>106.0864</v>
      </c>
      <c r="BR104" s="948">
        <f t="shared" si="183"/>
        <v>379.51304533333331</v>
      </c>
      <c r="BS104" s="948">
        <f t="shared" si="184"/>
        <v>0</v>
      </c>
      <c r="BT104" s="955">
        <f t="shared" si="185"/>
        <v>99.170704402515724</v>
      </c>
    </row>
    <row r="105" spans="1:72">
      <c r="A105" s="952">
        <v>3</v>
      </c>
      <c r="B105" s="952" t="s">
        <v>1109</v>
      </c>
      <c r="C105" s="950" t="s">
        <v>1110</v>
      </c>
      <c r="D105" s="950">
        <v>1</v>
      </c>
      <c r="E105" s="950">
        <v>1</v>
      </c>
      <c r="F105" s="948">
        <f>84+98</f>
        <v>182</v>
      </c>
      <c r="G105" s="948">
        <v>0.25</v>
      </c>
      <c r="H105" s="948">
        <v>0.6</v>
      </c>
      <c r="I105" s="948">
        <v>0.12</v>
      </c>
      <c r="J105" s="948">
        <f t="shared" si="159"/>
        <v>0.48</v>
      </c>
      <c r="K105" s="948">
        <f>F105*G105*J105*D105*E105</f>
        <v>21.84</v>
      </c>
      <c r="L105" s="948">
        <f t="shared" si="186"/>
        <v>174.72</v>
      </c>
      <c r="M105" s="952"/>
      <c r="N105" s="950">
        <v>16</v>
      </c>
      <c r="O105" s="950">
        <v>16</v>
      </c>
      <c r="P105" s="950">
        <v>16</v>
      </c>
      <c r="Q105" s="950">
        <v>16</v>
      </c>
      <c r="R105" s="950">
        <v>16</v>
      </c>
      <c r="S105" s="950">
        <v>16</v>
      </c>
      <c r="T105" s="950">
        <v>8</v>
      </c>
      <c r="U105" s="950"/>
      <c r="V105" s="950"/>
      <c r="W105" s="950">
        <v>200</v>
      </c>
      <c r="X105" s="950">
        <v>100</v>
      </c>
      <c r="Y105" s="950">
        <v>100</v>
      </c>
      <c r="Z105" s="950">
        <v>10</v>
      </c>
      <c r="AA105" s="950">
        <v>10</v>
      </c>
      <c r="AB105" s="950">
        <v>10</v>
      </c>
      <c r="AC105" s="950">
        <v>10</v>
      </c>
      <c r="AD105" s="950">
        <v>10</v>
      </c>
      <c r="AE105" s="950">
        <v>10</v>
      </c>
      <c r="AF105" s="955">
        <f t="shared" si="161"/>
        <v>228.5</v>
      </c>
      <c r="AG105" s="955">
        <f t="shared" si="162"/>
        <v>911</v>
      </c>
      <c r="AH105" s="955">
        <f t="shared" si="163"/>
        <v>456</v>
      </c>
      <c r="AI105" s="955">
        <v>0</v>
      </c>
      <c r="AJ105" s="955">
        <v>0</v>
      </c>
      <c r="AK105" s="948">
        <f t="shared" si="164"/>
        <v>46.3</v>
      </c>
      <c r="AL105" s="948">
        <f t="shared" si="165"/>
        <v>46.3</v>
      </c>
      <c r="AM105" s="948">
        <f t="shared" si="166"/>
        <v>91.511999999999986</v>
      </c>
      <c r="AN105" s="948">
        <f t="shared" si="167"/>
        <v>91.511999999999986</v>
      </c>
      <c r="AO105" s="948">
        <f t="shared" si="168"/>
        <v>46.3</v>
      </c>
      <c r="AP105" s="948">
        <f t="shared" si="169"/>
        <v>46.3</v>
      </c>
      <c r="AQ105" s="948">
        <f t="shared" si="170"/>
        <v>1.508</v>
      </c>
      <c r="AR105" s="948">
        <f t="shared" si="171"/>
        <v>0</v>
      </c>
      <c r="AS105" s="948">
        <f t="shared" si="172"/>
        <v>0</v>
      </c>
      <c r="AT105" s="948">
        <f t="shared" si="173"/>
        <v>463</v>
      </c>
      <c r="AU105" s="948">
        <f t="shared" si="174"/>
        <v>463</v>
      </c>
      <c r="AV105" s="948">
        <f t="shared" si="175"/>
        <v>915.11999999999989</v>
      </c>
      <c r="AW105" s="948">
        <f t="shared" si="176"/>
        <v>915.11999999999989</v>
      </c>
      <c r="AX105" s="948">
        <f t="shared" si="177"/>
        <v>463</v>
      </c>
      <c r="AY105" s="948">
        <f t="shared" si="178"/>
        <v>463</v>
      </c>
      <c r="AZ105" s="948">
        <f t="shared" si="179"/>
        <v>2406.0140000000001</v>
      </c>
      <c r="BA105" s="948">
        <f t="shared" si="180"/>
        <v>0</v>
      </c>
      <c r="BB105" s="948">
        <f t="shared" si="181"/>
        <v>0</v>
      </c>
      <c r="BC105" s="957">
        <f t="shared" si="182"/>
        <v>1.5786666666666667</v>
      </c>
      <c r="BD105" s="957">
        <f t="shared" si="182"/>
        <v>1.5786666666666667</v>
      </c>
      <c r="BE105" s="957">
        <f t="shared" si="182"/>
        <v>1.5786666666666667</v>
      </c>
      <c r="BF105" s="957">
        <f t="shared" si="182"/>
        <v>1.5786666666666667</v>
      </c>
      <c r="BG105" s="957">
        <f t="shared" si="182"/>
        <v>1.5786666666666667</v>
      </c>
      <c r="BH105" s="957">
        <f t="shared" si="182"/>
        <v>1.5786666666666667</v>
      </c>
      <c r="BI105" s="957">
        <f t="shared" si="182"/>
        <v>0.39466666666666667</v>
      </c>
      <c r="BJ105" s="957">
        <f t="shared" si="182"/>
        <v>0</v>
      </c>
      <c r="BK105" s="957">
        <f t="shared" si="182"/>
        <v>0</v>
      </c>
      <c r="BL105" s="948">
        <f t="shared" si="183"/>
        <v>730.92266666666671</v>
      </c>
      <c r="BM105" s="948">
        <f t="shared" si="183"/>
        <v>730.92266666666671</v>
      </c>
      <c r="BN105" s="948">
        <f t="shared" si="183"/>
        <v>1444.6694399999999</v>
      </c>
      <c r="BO105" s="948">
        <f t="shared" si="183"/>
        <v>1444.6694399999999</v>
      </c>
      <c r="BP105" s="948">
        <f t="shared" si="183"/>
        <v>730.92266666666671</v>
      </c>
      <c r="BQ105" s="948">
        <f t="shared" si="183"/>
        <v>730.92266666666671</v>
      </c>
      <c r="BR105" s="948">
        <f t="shared" si="183"/>
        <v>949.57352533333335</v>
      </c>
      <c r="BS105" s="948">
        <f t="shared" si="184"/>
        <v>0</v>
      </c>
      <c r="BT105" s="955">
        <f t="shared" si="185"/>
        <v>309.64299780219778</v>
      </c>
    </row>
    <row r="106" spans="1:72">
      <c r="A106" s="952">
        <v>4</v>
      </c>
      <c r="B106" s="952" t="s">
        <v>1111</v>
      </c>
      <c r="C106" s="950" t="s">
        <v>1112</v>
      </c>
      <c r="D106" s="950">
        <v>1</v>
      </c>
      <c r="E106" s="950">
        <v>1</v>
      </c>
      <c r="F106" s="948">
        <v>36</v>
      </c>
      <c r="G106" s="948">
        <v>0.25</v>
      </c>
      <c r="H106" s="948">
        <v>0.6</v>
      </c>
      <c r="I106" s="948">
        <v>0.12</v>
      </c>
      <c r="J106" s="948">
        <f t="shared" si="159"/>
        <v>0.48</v>
      </c>
      <c r="K106" s="948">
        <f>F106*G106*J106*D106*E106</f>
        <v>4.32</v>
      </c>
      <c r="L106" s="948">
        <f t="shared" si="186"/>
        <v>34.56</v>
      </c>
      <c r="M106" s="952"/>
      <c r="N106" s="950">
        <v>19</v>
      </c>
      <c r="O106" s="950">
        <v>19</v>
      </c>
      <c r="P106" s="950">
        <v>19</v>
      </c>
      <c r="Q106" s="950">
        <v>19</v>
      </c>
      <c r="R106" s="950">
        <v>19</v>
      </c>
      <c r="S106" s="950">
        <v>19</v>
      </c>
      <c r="T106" s="950">
        <v>8</v>
      </c>
      <c r="U106" s="950"/>
      <c r="V106" s="950"/>
      <c r="W106" s="950">
        <v>200</v>
      </c>
      <c r="X106" s="950">
        <v>100</v>
      </c>
      <c r="Y106" s="950">
        <v>100</v>
      </c>
      <c r="Z106" s="950">
        <v>9</v>
      </c>
      <c r="AA106" s="950">
        <v>6</v>
      </c>
      <c r="AB106" s="950">
        <v>8</v>
      </c>
      <c r="AC106" s="950">
        <v>8</v>
      </c>
      <c r="AD106" s="950">
        <v>9</v>
      </c>
      <c r="AE106" s="950">
        <v>6</v>
      </c>
      <c r="AF106" s="955">
        <f t="shared" si="161"/>
        <v>46</v>
      </c>
      <c r="AG106" s="955">
        <f t="shared" si="162"/>
        <v>181</v>
      </c>
      <c r="AH106" s="955">
        <f t="shared" si="163"/>
        <v>91</v>
      </c>
      <c r="AI106" s="955">
        <v>0</v>
      </c>
      <c r="AJ106" s="955">
        <v>0</v>
      </c>
      <c r="AK106" s="948">
        <f t="shared" si="164"/>
        <v>9.9499999999999993</v>
      </c>
      <c r="AL106" s="948">
        <f t="shared" si="165"/>
        <v>9.9499999999999993</v>
      </c>
      <c r="AM106" s="948">
        <f t="shared" si="166"/>
        <v>18.608000000000001</v>
      </c>
      <c r="AN106" s="948">
        <f t="shared" si="167"/>
        <v>18.608000000000001</v>
      </c>
      <c r="AO106" s="948">
        <f t="shared" si="168"/>
        <v>9.9499999999999993</v>
      </c>
      <c r="AP106" s="948">
        <f t="shared" si="169"/>
        <v>9.9499999999999993</v>
      </c>
      <c r="AQ106" s="948">
        <f t="shared" si="170"/>
        <v>1.508</v>
      </c>
      <c r="AR106" s="948">
        <f t="shared" si="171"/>
        <v>0</v>
      </c>
      <c r="AS106" s="948">
        <f t="shared" si="172"/>
        <v>0</v>
      </c>
      <c r="AT106" s="948">
        <f t="shared" si="173"/>
        <v>89.55</v>
      </c>
      <c r="AU106" s="948">
        <f t="shared" si="174"/>
        <v>59.699999999999996</v>
      </c>
      <c r="AV106" s="948">
        <f t="shared" si="175"/>
        <v>148.864</v>
      </c>
      <c r="AW106" s="948">
        <f t="shared" si="176"/>
        <v>148.864</v>
      </c>
      <c r="AX106" s="948">
        <f t="shared" si="177"/>
        <v>89.55</v>
      </c>
      <c r="AY106" s="948">
        <f t="shared" si="178"/>
        <v>59.699999999999996</v>
      </c>
      <c r="AZ106" s="948">
        <f t="shared" si="179"/>
        <v>479.54399999999998</v>
      </c>
      <c r="BA106" s="948">
        <f t="shared" si="180"/>
        <v>0</v>
      </c>
      <c r="BB106" s="948">
        <f t="shared" si="181"/>
        <v>0</v>
      </c>
      <c r="BC106" s="957">
        <f t="shared" si="182"/>
        <v>2.2261666666666664</v>
      </c>
      <c r="BD106" s="957">
        <f t="shared" si="182"/>
        <v>2.2261666666666664</v>
      </c>
      <c r="BE106" s="957">
        <f t="shared" si="182"/>
        <v>2.2261666666666664</v>
      </c>
      <c r="BF106" s="957">
        <f t="shared" si="182"/>
        <v>2.2261666666666664</v>
      </c>
      <c r="BG106" s="957">
        <f t="shared" si="182"/>
        <v>2.2261666666666664</v>
      </c>
      <c r="BH106" s="957">
        <f t="shared" si="182"/>
        <v>2.2261666666666664</v>
      </c>
      <c r="BI106" s="957">
        <f t="shared" si="182"/>
        <v>0.39466666666666667</v>
      </c>
      <c r="BJ106" s="957">
        <f t="shared" si="182"/>
        <v>0</v>
      </c>
      <c r="BK106" s="957">
        <f t="shared" si="182"/>
        <v>0</v>
      </c>
      <c r="BL106" s="948">
        <f t="shared" si="183"/>
        <v>199.35322499999998</v>
      </c>
      <c r="BM106" s="948">
        <f t="shared" si="183"/>
        <v>132.90214999999998</v>
      </c>
      <c r="BN106" s="948">
        <f t="shared" si="183"/>
        <v>331.39607466666666</v>
      </c>
      <c r="BO106" s="948">
        <f t="shared" si="183"/>
        <v>331.39607466666666</v>
      </c>
      <c r="BP106" s="948">
        <f t="shared" si="183"/>
        <v>199.35322499999998</v>
      </c>
      <c r="BQ106" s="948">
        <f t="shared" si="183"/>
        <v>132.90214999999998</v>
      </c>
      <c r="BR106" s="948">
        <f t="shared" si="183"/>
        <v>189.260032</v>
      </c>
      <c r="BS106" s="948">
        <f t="shared" si="184"/>
        <v>0</v>
      </c>
      <c r="BT106" s="955">
        <f t="shared" si="185"/>
        <v>351.0562341049382</v>
      </c>
    </row>
    <row r="107" spans="1:72">
      <c r="A107" s="952">
        <v>5</v>
      </c>
      <c r="B107" s="952" t="s">
        <v>1140</v>
      </c>
      <c r="C107" s="950" t="s">
        <v>1114</v>
      </c>
      <c r="D107" s="950">
        <v>1</v>
      </c>
      <c r="E107" s="950">
        <v>1</v>
      </c>
      <c r="F107" s="948">
        <v>8</v>
      </c>
      <c r="G107" s="948">
        <v>0.25</v>
      </c>
      <c r="H107" s="948">
        <v>0.6</v>
      </c>
      <c r="I107" s="948">
        <v>0.12</v>
      </c>
      <c r="J107" s="948">
        <f t="shared" si="159"/>
        <v>0.48</v>
      </c>
      <c r="K107" s="948">
        <f>F107*G107*J107*D107*E107</f>
        <v>0.96</v>
      </c>
      <c r="L107" s="948">
        <f t="shared" si="186"/>
        <v>7.68</v>
      </c>
      <c r="M107" s="952"/>
      <c r="N107" s="950">
        <f t="shared" ref="N107:S108" si="187">N103</f>
        <v>16</v>
      </c>
      <c r="O107" s="950">
        <f t="shared" si="187"/>
        <v>16</v>
      </c>
      <c r="P107" s="950">
        <f t="shared" si="187"/>
        <v>16</v>
      </c>
      <c r="Q107" s="950">
        <f t="shared" si="187"/>
        <v>16</v>
      </c>
      <c r="R107" s="950">
        <f t="shared" si="187"/>
        <v>16</v>
      </c>
      <c r="S107" s="950">
        <f t="shared" si="187"/>
        <v>16</v>
      </c>
      <c r="T107" s="950">
        <v>8</v>
      </c>
      <c r="U107" s="950"/>
      <c r="V107" s="950"/>
      <c r="W107" s="950">
        <v>200</v>
      </c>
      <c r="X107" s="950">
        <v>100</v>
      </c>
      <c r="Y107" s="950">
        <f t="shared" ref="Y107" si="188">Y103</f>
        <v>100</v>
      </c>
      <c r="Z107" s="950">
        <v>4</v>
      </c>
      <c r="AA107" s="950">
        <v>4</v>
      </c>
      <c r="AB107" s="950">
        <v>2</v>
      </c>
      <c r="AC107" s="950">
        <v>2</v>
      </c>
      <c r="AD107" s="950">
        <v>4</v>
      </c>
      <c r="AE107" s="950">
        <v>4</v>
      </c>
      <c r="AF107" s="955">
        <f t="shared" si="161"/>
        <v>11</v>
      </c>
      <c r="AG107" s="955">
        <f t="shared" si="162"/>
        <v>41</v>
      </c>
      <c r="AH107" s="955">
        <f t="shared" si="163"/>
        <v>21</v>
      </c>
      <c r="AI107" s="955">
        <v>0</v>
      </c>
      <c r="AJ107" s="955">
        <v>0</v>
      </c>
      <c r="AK107" s="948">
        <f t="shared" si="164"/>
        <v>2.8000000000000003</v>
      </c>
      <c r="AL107" s="948">
        <f t="shared" si="165"/>
        <v>2.8000000000000003</v>
      </c>
      <c r="AM107" s="948">
        <f t="shared" si="166"/>
        <v>4.5120000000000005</v>
      </c>
      <c r="AN107" s="948">
        <f t="shared" si="167"/>
        <v>4.5120000000000005</v>
      </c>
      <c r="AO107" s="948">
        <f t="shared" si="168"/>
        <v>2.8000000000000003</v>
      </c>
      <c r="AP107" s="948">
        <f t="shared" si="169"/>
        <v>2.8000000000000003</v>
      </c>
      <c r="AQ107" s="948">
        <f t="shared" si="170"/>
        <v>1.508</v>
      </c>
      <c r="AR107" s="948">
        <f t="shared" si="171"/>
        <v>0</v>
      </c>
      <c r="AS107" s="948">
        <f t="shared" si="172"/>
        <v>0</v>
      </c>
      <c r="AT107" s="948">
        <f t="shared" si="173"/>
        <v>11.200000000000001</v>
      </c>
      <c r="AU107" s="948">
        <f t="shared" si="174"/>
        <v>11.200000000000001</v>
      </c>
      <c r="AV107" s="948">
        <f t="shared" si="175"/>
        <v>9.0240000000000009</v>
      </c>
      <c r="AW107" s="948">
        <f t="shared" si="176"/>
        <v>9.0240000000000009</v>
      </c>
      <c r="AX107" s="948">
        <f t="shared" si="177"/>
        <v>11.200000000000001</v>
      </c>
      <c r="AY107" s="948">
        <f t="shared" si="178"/>
        <v>11.200000000000001</v>
      </c>
      <c r="AZ107" s="948">
        <f t="shared" si="179"/>
        <v>110.084</v>
      </c>
      <c r="BA107" s="948">
        <f t="shared" si="180"/>
        <v>0</v>
      </c>
      <c r="BB107" s="948">
        <f t="shared" si="181"/>
        <v>0</v>
      </c>
      <c r="BC107" s="957">
        <f t="shared" si="182"/>
        <v>1.5786666666666667</v>
      </c>
      <c r="BD107" s="957">
        <f t="shared" si="182"/>
        <v>1.5786666666666667</v>
      </c>
      <c r="BE107" s="957">
        <f t="shared" si="182"/>
        <v>1.5786666666666667</v>
      </c>
      <c r="BF107" s="957">
        <f t="shared" si="182"/>
        <v>1.5786666666666667</v>
      </c>
      <c r="BG107" s="957">
        <f t="shared" si="182"/>
        <v>1.5786666666666667</v>
      </c>
      <c r="BH107" s="957">
        <f t="shared" si="182"/>
        <v>1.5786666666666667</v>
      </c>
      <c r="BI107" s="957">
        <f t="shared" si="182"/>
        <v>0.39466666666666667</v>
      </c>
      <c r="BJ107" s="957">
        <f t="shared" si="182"/>
        <v>0</v>
      </c>
      <c r="BK107" s="957">
        <f t="shared" si="182"/>
        <v>0</v>
      </c>
      <c r="BL107" s="948">
        <f t="shared" si="183"/>
        <v>17.68106666666667</v>
      </c>
      <c r="BM107" s="948">
        <f t="shared" si="183"/>
        <v>17.68106666666667</v>
      </c>
      <c r="BN107" s="948">
        <f t="shared" si="183"/>
        <v>14.245888000000001</v>
      </c>
      <c r="BO107" s="948">
        <f t="shared" si="183"/>
        <v>14.245888000000001</v>
      </c>
      <c r="BP107" s="948">
        <f t="shared" si="183"/>
        <v>17.68106666666667</v>
      </c>
      <c r="BQ107" s="948">
        <f t="shared" si="183"/>
        <v>17.68106666666667</v>
      </c>
      <c r="BR107" s="948">
        <f t="shared" si="183"/>
        <v>43.446485333333335</v>
      </c>
      <c r="BS107" s="948">
        <f t="shared" si="184"/>
        <v>0</v>
      </c>
      <c r="BT107" s="955">
        <f t="shared" si="185"/>
        <v>148.60680000000002</v>
      </c>
    </row>
    <row r="108" spans="1:72">
      <c r="A108" s="952">
        <v>6</v>
      </c>
      <c r="B108" s="952" t="s">
        <v>1115</v>
      </c>
      <c r="C108" s="950" t="s">
        <v>1116</v>
      </c>
      <c r="D108" s="950">
        <v>1</v>
      </c>
      <c r="E108" s="950">
        <v>1</v>
      </c>
      <c r="F108" s="948">
        <v>12</v>
      </c>
      <c r="G108" s="948">
        <v>0.25</v>
      </c>
      <c r="H108" s="948">
        <v>0.6</v>
      </c>
      <c r="I108" s="948">
        <v>0.12</v>
      </c>
      <c r="J108" s="948">
        <f t="shared" si="159"/>
        <v>0.48</v>
      </c>
      <c r="K108" s="948">
        <f>F108*G108*J108*D108*E108</f>
        <v>1.44</v>
      </c>
      <c r="L108" s="948">
        <f t="shared" si="186"/>
        <v>11.52</v>
      </c>
      <c r="M108" s="952"/>
      <c r="N108" s="950">
        <f t="shared" si="187"/>
        <v>16</v>
      </c>
      <c r="O108" s="950">
        <f t="shared" si="187"/>
        <v>16</v>
      </c>
      <c r="P108" s="950">
        <f t="shared" si="187"/>
        <v>16</v>
      </c>
      <c r="Q108" s="950">
        <f t="shared" si="187"/>
        <v>16</v>
      </c>
      <c r="R108" s="950">
        <f t="shared" si="187"/>
        <v>16</v>
      </c>
      <c r="S108" s="950">
        <f t="shared" si="187"/>
        <v>16</v>
      </c>
      <c r="T108" s="950">
        <v>8</v>
      </c>
      <c r="U108" s="950"/>
      <c r="V108" s="950"/>
      <c r="W108" s="950">
        <v>200</v>
      </c>
      <c r="X108" s="950">
        <v>100</v>
      </c>
      <c r="Y108" s="950">
        <f t="shared" ref="Y108" si="189">X108</f>
        <v>100</v>
      </c>
      <c r="Z108" s="950">
        <v>9</v>
      </c>
      <c r="AA108" s="950">
        <v>6</v>
      </c>
      <c r="AB108" s="950">
        <v>16</v>
      </c>
      <c r="AC108" s="950">
        <v>16</v>
      </c>
      <c r="AD108" s="950">
        <v>9</v>
      </c>
      <c r="AE108" s="950">
        <v>6</v>
      </c>
      <c r="AF108" s="955">
        <f t="shared" si="161"/>
        <v>16</v>
      </c>
      <c r="AG108" s="955">
        <f t="shared" si="162"/>
        <v>61</v>
      </c>
      <c r="AH108" s="955">
        <f t="shared" si="163"/>
        <v>31</v>
      </c>
      <c r="AI108" s="955">
        <v>0</v>
      </c>
      <c r="AJ108" s="955">
        <v>0</v>
      </c>
      <c r="AK108" s="948">
        <f t="shared" si="164"/>
        <v>3.8000000000000003</v>
      </c>
      <c r="AL108" s="948">
        <f t="shared" si="165"/>
        <v>3.8000000000000003</v>
      </c>
      <c r="AM108" s="948">
        <f t="shared" si="166"/>
        <v>6.5120000000000005</v>
      </c>
      <c r="AN108" s="948">
        <f t="shared" si="167"/>
        <v>6.5120000000000005</v>
      </c>
      <c r="AO108" s="948">
        <f t="shared" si="168"/>
        <v>3.8000000000000003</v>
      </c>
      <c r="AP108" s="948">
        <f t="shared" si="169"/>
        <v>3.8000000000000003</v>
      </c>
      <c r="AQ108" s="948">
        <f t="shared" si="170"/>
        <v>1.508</v>
      </c>
      <c r="AR108" s="948">
        <f>((H108)+(2*6*U108/1000)-(2*0.03))*AI108</f>
        <v>0</v>
      </c>
      <c r="AS108" s="948">
        <f t="shared" si="172"/>
        <v>0</v>
      </c>
      <c r="AT108" s="948">
        <f t="shared" si="173"/>
        <v>34.200000000000003</v>
      </c>
      <c r="AU108" s="948">
        <f t="shared" si="174"/>
        <v>22.8</v>
      </c>
      <c r="AV108" s="948">
        <f t="shared" si="175"/>
        <v>104.19200000000001</v>
      </c>
      <c r="AW108" s="948">
        <f t="shared" si="176"/>
        <v>104.19200000000001</v>
      </c>
      <c r="AX108" s="948">
        <f t="shared" si="177"/>
        <v>34.200000000000003</v>
      </c>
      <c r="AY108" s="948">
        <f t="shared" si="178"/>
        <v>22.8</v>
      </c>
      <c r="AZ108" s="948">
        <f t="shared" si="179"/>
        <v>162.864</v>
      </c>
      <c r="BA108" s="948">
        <f t="shared" si="180"/>
        <v>0</v>
      </c>
      <c r="BB108" s="948">
        <f t="shared" si="181"/>
        <v>0</v>
      </c>
      <c r="BC108" s="957">
        <f t="shared" si="182"/>
        <v>1.5786666666666667</v>
      </c>
      <c r="BD108" s="957">
        <f t="shared" si="182"/>
        <v>1.5786666666666667</v>
      </c>
      <c r="BE108" s="957">
        <f t="shared" si="182"/>
        <v>1.5786666666666667</v>
      </c>
      <c r="BF108" s="957">
        <f t="shared" si="182"/>
        <v>1.5786666666666667</v>
      </c>
      <c r="BG108" s="957">
        <f t="shared" si="182"/>
        <v>1.5786666666666667</v>
      </c>
      <c r="BH108" s="957">
        <f t="shared" si="182"/>
        <v>1.5786666666666667</v>
      </c>
      <c r="BI108" s="957">
        <f t="shared" si="182"/>
        <v>0.39466666666666667</v>
      </c>
      <c r="BJ108" s="957">
        <f t="shared" si="182"/>
        <v>0</v>
      </c>
      <c r="BK108" s="957">
        <f t="shared" si="182"/>
        <v>0</v>
      </c>
      <c r="BL108" s="948">
        <f t="shared" si="183"/>
        <v>53.990400000000001</v>
      </c>
      <c r="BM108" s="948">
        <f t="shared" si="183"/>
        <v>35.993600000000001</v>
      </c>
      <c r="BN108" s="948">
        <f t="shared" si="183"/>
        <v>164.48443733333335</v>
      </c>
      <c r="BO108" s="948">
        <f t="shared" si="183"/>
        <v>164.48443733333335</v>
      </c>
      <c r="BP108" s="948">
        <f t="shared" si="183"/>
        <v>53.990400000000001</v>
      </c>
      <c r="BQ108" s="948">
        <f t="shared" si="183"/>
        <v>35.993600000000001</v>
      </c>
      <c r="BR108" s="948">
        <f t="shared" si="183"/>
        <v>64.276992000000007</v>
      </c>
      <c r="BS108" s="948">
        <f t="shared" si="184"/>
        <v>0</v>
      </c>
      <c r="BT108" s="955">
        <f t="shared" si="185"/>
        <v>398.06518518518521</v>
      </c>
    </row>
    <row r="109" spans="1:72">
      <c r="A109" s="952">
        <v>7</v>
      </c>
      <c r="B109" s="952" t="s">
        <v>1117</v>
      </c>
      <c r="C109" s="950" t="s">
        <v>1118</v>
      </c>
      <c r="D109" s="950">
        <v>1</v>
      </c>
      <c r="E109" s="950">
        <v>1</v>
      </c>
      <c r="F109" s="948">
        <v>60</v>
      </c>
      <c r="G109" s="948">
        <v>0.25</v>
      </c>
      <c r="H109" s="948">
        <v>0.6</v>
      </c>
      <c r="I109" s="948">
        <v>0.12</v>
      </c>
      <c r="J109" s="948">
        <f t="shared" si="159"/>
        <v>0.48</v>
      </c>
      <c r="K109" s="948">
        <f t="shared" ref="K109:K115" si="190">F109*G109*J109*D109*E109</f>
        <v>7.1999999999999993</v>
      </c>
      <c r="L109" s="948">
        <f t="shared" si="186"/>
        <v>57.599999999999994</v>
      </c>
      <c r="M109" s="952"/>
      <c r="N109" s="950">
        <f>N108</f>
        <v>16</v>
      </c>
      <c r="O109" s="950">
        <f>O105</f>
        <v>16</v>
      </c>
      <c r="P109" s="950">
        <f>P105</f>
        <v>16</v>
      </c>
      <c r="Q109" s="950">
        <f>Q105</f>
        <v>16</v>
      </c>
      <c r="R109" s="950">
        <f>R105</f>
        <v>16</v>
      </c>
      <c r="S109" s="950">
        <f>S105</f>
        <v>16</v>
      </c>
      <c r="T109" s="950">
        <v>8</v>
      </c>
      <c r="U109" s="950"/>
      <c r="V109" s="950"/>
      <c r="W109" s="950">
        <v>200</v>
      </c>
      <c r="X109" s="950">
        <v>100</v>
      </c>
      <c r="Y109" s="950">
        <f>X109</f>
        <v>100</v>
      </c>
      <c r="Z109" s="950">
        <v>9</v>
      </c>
      <c r="AA109" s="950">
        <v>6</v>
      </c>
      <c r="AB109" s="950">
        <v>16</v>
      </c>
      <c r="AC109" s="950">
        <v>16</v>
      </c>
      <c r="AD109" s="950">
        <v>9</v>
      </c>
      <c r="AE109" s="950">
        <v>6</v>
      </c>
      <c r="AF109" s="955">
        <f t="shared" si="161"/>
        <v>76</v>
      </c>
      <c r="AG109" s="955">
        <f t="shared" si="162"/>
        <v>301</v>
      </c>
      <c r="AH109" s="955">
        <f t="shared" si="163"/>
        <v>151</v>
      </c>
      <c r="AI109" s="955">
        <v>0</v>
      </c>
      <c r="AJ109" s="955">
        <v>0</v>
      </c>
      <c r="AK109" s="948">
        <f t="shared" si="164"/>
        <v>15.8</v>
      </c>
      <c r="AL109" s="948">
        <f t="shared" si="165"/>
        <v>15.8</v>
      </c>
      <c r="AM109" s="948">
        <f t="shared" si="166"/>
        <v>30.512</v>
      </c>
      <c r="AN109" s="948">
        <f t="shared" si="167"/>
        <v>30.512</v>
      </c>
      <c r="AO109" s="948">
        <f t="shared" si="168"/>
        <v>15.8</v>
      </c>
      <c r="AP109" s="948">
        <f t="shared" si="169"/>
        <v>15.8</v>
      </c>
      <c r="AQ109" s="948">
        <f t="shared" si="170"/>
        <v>1.508</v>
      </c>
      <c r="AR109" s="948">
        <f t="shared" ref="AR109:AR115" si="191">((H109)+(2*6*U109/1000)-(2*0.03))*AI109</f>
        <v>0</v>
      </c>
      <c r="AS109" s="948">
        <f t="shared" si="172"/>
        <v>0</v>
      </c>
      <c r="AT109" s="948">
        <f t="shared" si="173"/>
        <v>142.20000000000002</v>
      </c>
      <c r="AU109" s="948">
        <f t="shared" si="174"/>
        <v>94.800000000000011</v>
      </c>
      <c r="AV109" s="948">
        <f t="shared" si="175"/>
        <v>488.19200000000001</v>
      </c>
      <c r="AW109" s="948">
        <f t="shared" si="176"/>
        <v>488.19200000000001</v>
      </c>
      <c r="AX109" s="948">
        <f t="shared" si="177"/>
        <v>142.20000000000002</v>
      </c>
      <c r="AY109" s="948">
        <f t="shared" si="178"/>
        <v>94.800000000000011</v>
      </c>
      <c r="AZ109" s="948">
        <f t="shared" si="179"/>
        <v>796.22400000000005</v>
      </c>
      <c r="BA109" s="948">
        <f t="shared" si="180"/>
        <v>0</v>
      </c>
      <c r="BB109" s="948">
        <f t="shared" si="181"/>
        <v>0</v>
      </c>
      <c r="BC109" s="957">
        <f t="shared" si="182"/>
        <v>1.5786666666666667</v>
      </c>
      <c r="BD109" s="957">
        <f t="shared" si="182"/>
        <v>1.5786666666666667</v>
      </c>
      <c r="BE109" s="957">
        <f t="shared" si="182"/>
        <v>1.5786666666666667</v>
      </c>
      <c r="BF109" s="957">
        <f t="shared" si="182"/>
        <v>1.5786666666666667</v>
      </c>
      <c r="BG109" s="957">
        <f t="shared" si="182"/>
        <v>1.5786666666666667</v>
      </c>
      <c r="BH109" s="957">
        <f t="shared" si="182"/>
        <v>1.5786666666666667</v>
      </c>
      <c r="BI109" s="957">
        <f t="shared" si="182"/>
        <v>0.39466666666666667</v>
      </c>
      <c r="BJ109" s="957">
        <f t="shared" si="182"/>
        <v>0</v>
      </c>
      <c r="BK109" s="957">
        <f t="shared" si="182"/>
        <v>0</v>
      </c>
      <c r="BL109" s="948">
        <f t="shared" si="183"/>
        <v>224.48640000000003</v>
      </c>
      <c r="BM109" s="948">
        <f t="shared" si="183"/>
        <v>149.65760000000003</v>
      </c>
      <c r="BN109" s="948">
        <f t="shared" si="183"/>
        <v>770.69243733333337</v>
      </c>
      <c r="BO109" s="948">
        <f t="shared" si="183"/>
        <v>770.69243733333337</v>
      </c>
      <c r="BP109" s="948">
        <f t="shared" si="183"/>
        <v>224.48640000000003</v>
      </c>
      <c r="BQ109" s="948">
        <f t="shared" si="183"/>
        <v>149.65760000000003</v>
      </c>
      <c r="BR109" s="948">
        <f>AZ109*BI109</f>
        <v>314.24307200000004</v>
      </c>
      <c r="BS109" s="948">
        <f t="shared" si="184"/>
        <v>0</v>
      </c>
      <c r="BT109" s="955">
        <f t="shared" si="185"/>
        <v>361.65499259259269</v>
      </c>
    </row>
    <row r="110" spans="1:72">
      <c r="A110" s="952">
        <v>8</v>
      </c>
      <c r="B110" s="952" t="s">
        <v>1141</v>
      </c>
      <c r="C110" s="950" t="s">
        <v>1120</v>
      </c>
      <c r="D110" s="950">
        <v>1</v>
      </c>
      <c r="E110" s="950">
        <v>1</v>
      </c>
      <c r="F110" s="948">
        <v>8.4</v>
      </c>
      <c r="G110" s="948">
        <v>0.25</v>
      </c>
      <c r="H110" s="948">
        <v>0.6</v>
      </c>
      <c r="I110" s="948">
        <v>0.12</v>
      </c>
      <c r="J110" s="948">
        <f t="shared" si="159"/>
        <v>0.48</v>
      </c>
      <c r="K110" s="948">
        <f t="shared" si="190"/>
        <v>1.008</v>
      </c>
      <c r="L110" s="948">
        <f t="shared" si="186"/>
        <v>8.0640000000000001</v>
      </c>
      <c r="M110" s="952"/>
      <c r="N110" s="950">
        <v>16</v>
      </c>
      <c r="O110" s="950">
        <v>16</v>
      </c>
      <c r="P110" s="950">
        <v>16</v>
      </c>
      <c r="Q110" s="950">
        <v>16</v>
      </c>
      <c r="R110" s="950">
        <v>16</v>
      </c>
      <c r="S110" s="950">
        <v>16</v>
      </c>
      <c r="T110" s="950">
        <v>8</v>
      </c>
      <c r="U110" s="950"/>
      <c r="V110" s="950"/>
      <c r="W110" s="950">
        <v>200</v>
      </c>
      <c r="X110" s="950">
        <v>100</v>
      </c>
      <c r="Y110" s="950">
        <v>100</v>
      </c>
      <c r="Z110" s="950">
        <v>4</v>
      </c>
      <c r="AA110" s="950">
        <v>4</v>
      </c>
      <c r="AB110" s="950">
        <v>2</v>
      </c>
      <c r="AC110" s="950">
        <v>2</v>
      </c>
      <c r="AD110" s="950">
        <v>4</v>
      </c>
      <c r="AE110" s="950">
        <v>4</v>
      </c>
      <c r="AF110" s="955">
        <f t="shared" si="161"/>
        <v>11.5</v>
      </c>
      <c r="AG110" s="955">
        <f t="shared" si="162"/>
        <v>43</v>
      </c>
      <c r="AH110" s="955">
        <f t="shared" si="163"/>
        <v>22</v>
      </c>
      <c r="AI110" s="955">
        <v>0</v>
      </c>
      <c r="AJ110" s="955">
        <v>0</v>
      </c>
      <c r="AK110" s="948">
        <f t="shared" si="164"/>
        <v>2.9000000000000004</v>
      </c>
      <c r="AL110" s="948">
        <f t="shared" si="165"/>
        <v>2.9000000000000004</v>
      </c>
      <c r="AM110" s="948">
        <f t="shared" si="166"/>
        <v>4.7120000000000006</v>
      </c>
      <c r="AN110" s="948">
        <f t="shared" si="167"/>
        <v>4.7120000000000006</v>
      </c>
      <c r="AO110" s="948">
        <f t="shared" si="168"/>
        <v>2.9000000000000004</v>
      </c>
      <c r="AP110" s="948">
        <f t="shared" si="169"/>
        <v>2.9000000000000004</v>
      </c>
      <c r="AQ110" s="948">
        <f t="shared" si="170"/>
        <v>1.508</v>
      </c>
      <c r="AR110" s="948">
        <f t="shared" si="191"/>
        <v>0</v>
      </c>
      <c r="AS110" s="948">
        <f t="shared" si="172"/>
        <v>0</v>
      </c>
      <c r="AT110" s="948">
        <f t="shared" si="173"/>
        <v>11.600000000000001</v>
      </c>
      <c r="AU110" s="948">
        <f t="shared" si="174"/>
        <v>11.600000000000001</v>
      </c>
      <c r="AV110" s="948">
        <f t="shared" si="175"/>
        <v>9.4240000000000013</v>
      </c>
      <c r="AW110" s="948">
        <f t="shared" si="176"/>
        <v>9.4240000000000013</v>
      </c>
      <c r="AX110" s="948">
        <f t="shared" si="177"/>
        <v>11.600000000000001</v>
      </c>
      <c r="AY110" s="948">
        <f t="shared" si="178"/>
        <v>11.600000000000001</v>
      </c>
      <c r="AZ110" s="948">
        <f t="shared" si="179"/>
        <v>115.36199999999999</v>
      </c>
      <c r="BA110" s="948">
        <f t="shared" si="180"/>
        <v>0</v>
      </c>
      <c r="BB110" s="948">
        <f t="shared" si="181"/>
        <v>0</v>
      </c>
      <c r="BC110" s="957">
        <f t="shared" si="182"/>
        <v>1.5786666666666667</v>
      </c>
      <c r="BD110" s="957">
        <f t="shared" si="182"/>
        <v>1.5786666666666667</v>
      </c>
      <c r="BE110" s="957">
        <f t="shared" si="182"/>
        <v>1.5786666666666667</v>
      </c>
      <c r="BF110" s="957">
        <f t="shared" si="182"/>
        <v>1.5786666666666667</v>
      </c>
      <c r="BG110" s="957">
        <f t="shared" si="182"/>
        <v>1.5786666666666667</v>
      </c>
      <c r="BH110" s="957">
        <f t="shared" si="182"/>
        <v>1.5786666666666667</v>
      </c>
      <c r="BI110" s="957">
        <f t="shared" si="182"/>
        <v>0.39466666666666667</v>
      </c>
      <c r="BJ110" s="957">
        <f t="shared" si="182"/>
        <v>0</v>
      </c>
      <c r="BK110" s="957">
        <f t="shared" si="182"/>
        <v>0</v>
      </c>
      <c r="BL110" s="948">
        <f t="shared" si="183"/>
        <v>18.312533333333334</v>
      </c>
      <c r="BM110" s="948">
        <f t="shared" si="183"/>
        <v>18.312533333333334</v>
      </c>
      <c r="BN110" s="948">
        <f t="shared" si="183"/>
        <v>14.877354666666669</v>
      </c>
      <c r="BO110" s="948">
        <f t="shared" si="183"/>
        <v>14.877354666666669</v>
      </c>
      <c r="BP110" s="948">
        <f t="shared" si="183"/>
        <v>18.312533333333334</v>
      </c>
      <c r="BQ110" s="948">
        <f t="shared" si="183"/>
        <v>18.312533333333334</v>
      </c>
      <c r="BR110" s="948">
        <f t="shared" si="183"/>
        <v>45.529536</v>
      </c>
      <c r="BS110" s="948">
        <f t="shared" si="184"/>
        <v>0</v>
      </c>
      <c r="BT110" s="955">
        <f t="shared" si="185"/>
        <v>147.35553439153441</v>
      </c>
    </row>
    <row r="111" spans="1:72">
      <c r="A111" s="952">
        <v>9</v>
      </c>
      <c r="B111" s="952" t="s">
        <v>1142</v>
      </c>
      <c r="C111" s="950" t="s">
        <v>1122</v>
      </c>
      <c r="D111" s="950">
        <v>1</v>
      </c>
      <c r="E111" s="950">
        <v>1</v>
      </c>
      <c r="F111" s="948">
        <v>6</v>
      </c>
      <c r="G111" s="948">
        <v>0.25</v>
      </c>
      <c r="H111" s="948">
        <v>0.6</v>
      </c>
      <c r="I111" s="948">
        <v>0.12</v>
      </c>
      <c r="J111" s="948">
        <f t="shared" si="159"/>
        <v>0.48</v>
      </c>
      <c r="K111" s="948">
        <f t="shared" si="190"/>
        <v>0.72</v>
      </c>
      <c r="L111" s="948">
        <f t="shared" si="186"/>
        <v>5.76</v>
      </c>
      <c r="M111" s="952"/>
      <c r="N111" s="950">
        <v>16</v>
      </c>
      <c r="O111" s="950">
        <v>16</v>
      </c>
      <c r="P111" s="950">
        <v>16</v>
      </c>
      <c r="Q111" s="950">
        <v>16</v>
      </c>
      <c r="R111" s="950">
        <v>16</v>
      </c>
      <c r="S111" s="950">
        <v>16</v>
      </c>
      <c r="T111" s="950">
        <v>8</v>
      </c>
      <c r="U111" s="950"/>
      <c r="V111" s="950"/>
      <c r="W111" s="950">
        <v>200</v>
      </c>
      <c r="X111" s="950">
        <v>100</v>
      </c>
      <c r="Y111" s="950">
        <v>100</v>
      </c>
      <c r="Z111" s="950">
        <v>10</v>
      </c>
      <c r="AA111" s="950">
        <v>10</v>
      </c>
      <c r="AB111" s="950">
        <v>10</v>
      </c>
      <c r="AC111" s="950">
        <v>10</v>
      </c>
      <c r="AD111" s="950">
        <v>10</v>
      </c>
      <c r="AE111" s="950">
        <v>10</v>
      </c>
      <c r="AF111" s="955">
        <f t="shared" si="161"/>
        <v>8.5</v>
      </c>
      <c r="AG111" s="955">
        <f t="shared" si="162"/>
        <v>31</v>
      </c>
      <c r="AH111" s="955">
        <f t="shared" si="163"/>
        <v>16</v>
      </c>
      <c r="AI111" s="955">
        <v>0</v>
      </c>
      <c r="AJ111" s="955">
        <v>0</v>
      </c>
      <c r="AK111" s="948">
        <f t="shared" si="164"/>
        <v>2.3000000000000003</v>
      </c>
      <c r="AL111" s="948">
        <f t="shared" si="165"/>
        <v>2.3000000000000003</v>
      </c>
      <c r="AM111" s="948">
        <f t="shared" si="166"/>
        <v>3.512</v>
      </c>
      <c r="AN111" s="948">
        <f t="shared" si="167"/>
        <v>3.512</v>
      </c>
      <c r="AO111" s="948">
        <f t="shared" si="168"/>
        <v>2.3000000000000003</v>
      </c>
      <c r="AP111" s="948">
        <f t="shared" si="169"/>
        <v>2.3000000000000003</v>
      </c>
      <c r="AQ111" s="948">
        <f t="shared" si="170"/>
        <v>1.508</v>
      </c>
      <c r="AR111" s="948">
        <f t="shared" si="191"/>
        <v>0</v>
      </c>
      <c r="AS111" s="948">
        <f t="shared" si="172"/>
        <v>0</v>
      </c>
      <c r="AT111" s="948">
        <f t="shared" si="173"/>
        <v>23.000000000000004</v>
      </c>
      <c r="AU111" s="948">
        <f t="shared" si="174"/>
        <v>23.000000000000004</v>
      </c>
      <c r="AV111" s="948">
        <f t="shared" si="175"/>
        <v>35.119999999999997</v>
      </c>
      <c r="AW111" s="948">
        <f t="shared" si="176"/>
        <v>35.119999999999997</v>
      </c>
      <c r="AX111" s="948">
        <f t="shared" si="177"/>
        <v>23.000000000000004</v>
      </c>
      <c r="AY111" s="948">
        <f t="shared" si="178"/>
        <v>23.000000000000004</v>
      </c>
      <c r="AZ111" s="948">
        <f t="shared" si="179"/>
        <v>83.694000000000003</v>
      </c>
      <c r="BA111" s="948">
        <f t="shared" si="180"/>
        <v>0</v>
      </c>
      <c r="BB111" s="948">
        <f t="shared" si="181"/>
        <v>0</v>
      </c>
      <c r="BC111" s="957">
        <f t="shared" si="182"/>
        <v>1.5786666666666667</v>
      </c>
      <c r="BD111" s="957">
        <f t="shared" si="182"/>
        <v>1.5786666666666667</v>
      </c>
      <c r="BE111" s="957">
        <f t="shared" si="182"/>
        <v>1.5786666666666667</v>
      </c>
      <c r="BF111" s="957">
        <f t="shared" si="182"/>
        <v>1.5786666666666667</v>
      </c>
      <c r="BG111" s="957">
        <f t="shared" si="182"/>
        <v>1.5786666666666667</v>
      </c>
      <c r="BH111" s="957">
        <f t="shared" si="182"/>
        <v>1.5786666666666667</v>
      </c>
      <c r="BI111" s="957">
        <f t="shared" si="182"/>
        <v>0.39466666666666667</v>
      </c>
      <c r="BJ111" s="957">
        <f t="shared" si="182"/>
        <v>0</v>
      </c>
      <c r="BK111" s="957">
        <f t="shared" si="182"/>
        <v>0</v>
      </c>
      <c r="BL111" s="948">
        <f t="shared" si="183"/>
        <v>36.309333333333342</v>
      </c>
      <c r="BM111" s="948">
        <f t="shared" si="183"/>
        <v>36.309333333333342</v>
      </c>
      <c r="BN111" s="948">
        <f t="shared" si="183"/>
        <v>55.442773333333328</v>
      </c>
      <c r="BO111" s="948">
        <f t="shared" si="183"/>
        <v>55.442773333333328</v>
      </c>
      <c r="BP111" s="948">
        <f t="shared" si="183"/>
        <v>36.309333333333342</v>
      </c>
      <c r="BQ111" s="948">
        <f t="shared" si="183"/>
        <v>36.309333333333342</v>
      </c>
      <c r="BR111" s="948">
        <f t="shared" si="183"/>
        <v>33.031232000000003</v>
      </c>
      <c r="BS111" s="948">
        <f t="shared" si="184"/>
        <v>0</v>
      </c>
      <c r="BT111" s="955">
        <f t="shared" si="185"/>
        <v>401.60293333333334</v>
      </c>
    </row>
    <row r="112" spans="1:72">
      <c r="A112" s="952">
        <v>10</v>
      </c>
      <c r="B112" s="952" t="s">
        <v>1143</v>
      </c>
      <c r="C112" s="950" t="s">
        <v>1123</v>
      </c>
      <c r="D112" s="950">
        <v>1</v>
      </c>
      <c r="E112" s="950">
        <v>1</v>
      </c>
      <c r="F112" s="948">
        <v>6</v>
      </c>
      <c r="G112" s="948">
        <v>0.25</v>
      </c>
      <c r="H112" s="948">
        <v>0.6</v>
      </c>
      <c r="I112" s="948">
        <v>0.12</v>
      </c>
      <c r="J112" s="948">
        <f t="shared" si="159"/>
        <v>0.48</v>
      </c>
      <c r="K112" s="948">
        <f t="shared" si="190"/>
        <v>0.72</v>
      </c>
      <c r="L112" s="948">
        <f t="shared" si="186"/>
        <v>5.76</v>
      </c>
      <c r="M112" s="952"/>
      <c r="N112" s="950">
        <v>16</v>
      </c>
      <c r="O112" s="950">
        <v>16</v>
      </c>
      <c r="P112" s="950">
        <v>16</v>
      </c>
      <c r="Q112" s="950">
        <v>16</v>
      </c>
      <c r="R112" s="950">
        <v>16</v>
      </c>
      <c r="S112" s="950">
        <v>16</v>
      </c>
      <c r="T112" s="950">
        <v>8</v>
      </c>
      <c r="U112" s="950"/>
      <c r="V112" s="950"/>
      <c r="W112" s="950">
        <v>200</v>
      </c>
      <c r="X112" s="950">
        <v>100</v>
      </c>
      <c r="Y112" s="950">
        <v>100</v>
      </c>
      <c r="Z112" s="950">
        <v>9</v>
      </c>
      <c r="AA112" s="950">
        <v>6</v>
      </c>
      <c r="AB112" s="950">
        <v>8</v>
      </c>
      <c r="AC112" s="950">
        <v>8</v>
      </c>
      <c r="AD112" s="950">
        <v>9</v>
      </c>
      <c r="AE112" s="950">
        <v>6</v>
      </c>
      <c r="AF112" s="955">
        <f t="shared" si="161"/>
        <v>8.5</v>
      </c>
      <c r="AG112" s="955">
        <f t="shared" si="162"/>
        <v>31</v>
      </c>
      <c r="AH112" s="955">
        <f t="shared" si="163"/>
        <v>16</v>
      </c>
      <c r="AI112" s="955">
        <v>0</v>
      </c>
      <c r="AJ112" s="955">
        <v>0</v>
      </c>
      <c r="AK112" s="948">
        <f t="shared" si="164"/>
        <v>2.3000000000000003</v>
      </c>
      <c r="AL112" s="948">
        <f t="shared" si="165"/>
        <v>2.3000000000000003</v>
      </c>
      <c r="AM112" s="948">
        <f t="shared" si="166"/>
        <v>3.512</v>
      </c>
      <c r="AN112" s="948">
        <f t="shared" si="167"/>
        <v>3.512</v>
      </c>
      <c r="AO112" s="948">
        <f t="shared" si="168"/>
        <v>2.3000000000000003</v>
      </c>
      <c r="AP112" s="948">
        <f t="shared" si="169"/>
        <v>2.3000000000000003</v>
      </c>
      <c r="AQ112" s="948">
        <f t="shared" si="170"/>
        <v>1.508</v>
      </c>
      <c r="AR112" s="948">
        <f t="shared" si="191"/>
        <v>0</v>
      </c>
      <c r="AS112" s="948">
        <f t="shared" si="172"/>
        <v>0</v>
      </c>
      <c r="AT112" s="948">
        <f t="shared" si="173"/>
        <v>20.700000000000003</v>
      </c>
      <c r="AU112" s="948">
        <f t="shared" si="174"/>
        <v>13.8</v>
      </c>
      <c r="AV112" s="948">
        <f t="shared" si="175"/>
        <v>28.096</v>
      </c>
      <c r="AW112" s="948">
        <f t="shared" si="176"/>
        <v>28.096</v>
      </c>
      <c r="AX112" s="948">
        <f t="shared" si="177"/>
        <v>20.700000000000003</v>
      </c>
      <c r="AY112" s="948">
        <f t="shared" si="178"/>
        <v>13.8</v>
      </c>
      <c r="AZ112" s="948">
        <f t="shared" si="179"/>
        <v>83.694000000000003</v>
      </c>
      <c r="BA112" s="948">
        <f t="shared" si="180"/>
        <v>0</v>
      </c>
      <c r="BB112" s="948">
        <f t="shared" si="181"/>
        <v>0</v>
      </c>
      <c r="BC112" s="957">
        <f t="shared" si="182"/>
        <v>1.5786666666666667</v>
      </c>
      <c r="BD112" s="957">
        <f t="shared" si="182"/>
        <v>1.5786666666666667</v>
      </c>
      <c r="BE112" s="957">
        <f t="shared" si="182"/>
        <v>1.5786666666666667</v>
      </c>
      <c r="BF112" s="957">
        <f t="shared" si="182"/>
        <v>1.5786666666666667</v>
      </c>
      <c r="BG112" s="957">
        <f t="shared" si="182"/>
        <v>1.5786666666666667</v>
      </c>
      <c r="BH112" s="957">
        <f t="shared" si="182"/>
        <v>1.5786666666666667</v>
      </c>
      <c r="BI112" s="957">
        <f t="shared" si="182"/>
        <v>0.39466666666666667</v>
      </c>
      <c r="BJ112" s="957">
        <f t="shared" si="182"/>
        <v>0</v>
      </c>
      <c r="BK112" s="957">
        <f t="shared" si="182"/>
        <v>0</v>
      </c>
      <c r="BL112" s="948">
        <f t="shared" si="183"/>
        <v>32.678400000000003</v>
      </c>
      <c r="BM112" s="948">
        <f t="shared" si="183"/>
        <v>21.785600000000002</v>
      </c>
      <c r="BN112" s="948">
        <f t="shared" si="183"/>
        <v>44.354218666666668</v>
      </c>
      <c r="BO112" s="948">
        <f t="shared" si="183"/>
        <v>44.354218666666668</v>
      </c>
      <c r="BP112" s="948">
        <f t="shared" si="183"/>
        <v>32.678400000000003</v>
      </c>
      <c r="BQ112" s="948">
        <f t="shared" si="183"/>
        <v>21.785600000000002</v>
      </c>
      <c r="BR112" s="948">
        <f t="shared" si="183"/>
        <v>33.031232000000003</v>
      </c>
      <c r="BS112" s="948">
        <f t="shared" si="184"/>
        <v>0</v>
      </c>
      <c r="BT112" s="955">
        <f t="shared" si="185"/>
        <v>320.37176296296298</v>
      </c>
    </row>
    <row r="113" spans="1:72">
      <c r="A113" s="952">
        <v>11</v>
      </c>
      <c r="B113" s="952" t="s">
        <v>1144</v>
      </c>
      <c r="C113" s="950" t="s">
        <v>1125</v>
      </c>
      <c r="D113" s="950">
        <v>1</v>
      </c>
      <c r="E113" s="950">
        <v>1</v>
      </c>
      <c r="F113" s="948">
        <v>8</v>
      </c>
      <c r="G113" s="948">
        <v>0.3</v>
      </c>
      <c r="H113" s="948">
        <v>0.65</v>
      </c>
      <c r="I113" s="948">
        <v>0.12</v>
      </c>
      <c r="J113" s="948">
        <f t="shared" si="159"/>
        <v>0.53</v>
      </c>
      <c r="K113" s="948">
        <f t="shared" si="190"/>
        <v>1.272</v>
      </c>
      <c r="L113" s="948">
        <f t="shared" si="186"/>
        <v>8.48</v>
      </c>
      <c r="M113" s="952"/>
      <c r="N113" s="950">
        <f t="shared" ref="N113:S114" si="192">N109</f>
        <v>16</v>
      </c>
      <c r="O113" s="950">
        <f t="shared" si="192"/>
        <v>16</v>
      </c>
      <c r="P113" s="950">
        <f t="shared" si="192"/>
        <v>16</v>
      </c>
      <c r="Q113" s="950">
        <f t="shared" si="192"/>
        <v>16</v>
      </c>
      <c r="R113" s="950">
        <f t="shared" si="192"/>
        <v>16</v>
      </c>
      <c r="S113" s="950">
        <f t="shared" si="192"/>
        <v>16</v>
      </c>
      <c r="T113" s="950">
        <v>8</v>
      </c>
      <c r="U113" s="950"/>
      <c r="V113" s="950"/>
      <c r="W113" s="950">
        <v>200</v>
      </c>
      <c r="X113" s="950">
        <v>100</v>
      </c>
      <c r="Y113" s="950">
        <f>Y109</f>
        <v>100</v>
      </c>
      <c r="Z113" s="950">
        <v>4</v>
      </c>
      <c r="AA113" s="950">
        <v>4</v>
      </c>
      <c r="AB113" s="950">
        <v>2</v>
      </c>
      <c r="AC113" s="950">
        <v>2</v>
      </c>
      <c r="AD113" s="950">
        <v>4</v>
      </c>
      <c r="AE113" s="950">
        <v>4</v>
      </c>
      <c r="AF113" s="955">
        <f t="shared" si="161"/>
        <v>11</v>
      </c>
      <c r="AG113" s="955">
        <f t="shared" si="162"/>
        <v>41</v>
      </c>
      <c r="AH113" s="955">
        <f t="shared" si="163"/>
        <v>21</v>
      </c>
      <c r="AI113" s="955">
        <v>0</v>
      </c>
      <c r="AJ113" s="955">
        <v>0</v>
      </c>
      <c r="AK113" s="948">
        <f t="shared" si="164"/>
        <v>2.8000000000000003</v>
      </c>
      <c r="AL113" s="948">
        <f t="shared" si="165"/>
        <v>2.8000000000000003</v>
      </c>
      <c r="AM113" s="948">
        <f t="shared" si="166"/>
        <v>4.5120000000000005</v>
      </c>
      <c r="AN113" s="948">
        <f t="shared" si="167"/>
        <v>4.5120000000000005</v>
      </c>
      <c r="AO113" s="948">
        <f t="shared" si="168"/>
        <v>2.8000000000000003</v>
      </c>
      <c r="AP113" s="948">
        <f t="shared" si="169"/>
        <v>2.8000000000000003</v>
      </c>
      <c r="AQ113" s="948">
        <f t="shared" si="170"/>
        <v>1.708</v>
      </c>
      <c r="AR113" s="948">
        <f t="shared" si="191"/>
        <v>0</v>
      </c>
      <c r="AS113" s="948">
        <f t="shared" si="172"/>
        <v>0</v>
      </c>
      <c r="AT113" s="948">
        <f t="shared" si="173"/>
        <v>11.200000000000001</v>
      </c>
      <c r="AU113" s="948">
        <f t="shared" si="174"/>
        <v>11.200000000000001</v>
      </c>
      <c r="AV113" s="948">
        <f t="shared" si="175"/>
        <v>9.0240000000000009</v>
      </c>
      <c r="AW113" s="948">
        <f t="shared" si="176"/>
        <v>9.0240000000000009</v>
      </c>
      <c r="AX113" s="948">
        <f t="shared" si="177"/>
        <v>11.200000000000001</v>
      </c>
      <c r="AY113" s="948">
        <f t="shared" si="178"/>
        <v>11.200000000000001</v>
      </c>
      <c r="AZ113" s="948">
        <f t="shared" si="179"/>
        <v>124.684</v>
      </c>
      <c r="BA113" s="948">
        <f t="shared" si="180"/>
        <v>0</v>
      </c>
      <c r="BB113" s="948">
        <f t="shared" si="181"/>
        <v>0</v>
      </c>
      <c r="BC113" s="957">
        <f t="shared" si="182"/>
        <v>1.5786666666666667</v>
      </c>
      <c r="BD113" s="957">
        <f t="shared" si="182"/>
        <v>1.5786666666666667</v>
      </c>
      <c r="BE113" s="957">
        <f t="shared" si="182"/>
        <v>1.5786666666666667</v>
      </c>
      <c r="BF113" s="957">
        <f t="shared" si="182"/>
        <v>1.5786666666666667</v>
      </c>
      <c r="BG113" s="957">
        <f t="shared" si="182"/>
        <v>1.5786666666666667</v>
      </c>
      <c r="BH113" s="957">
        <f t="shared" si="182"/>
        <v>1.5786666666666667</v>
      </c>
      <c r="BI113" s="957">
        <f t="shared" si="182"/>
        <v>0.39466666666666667</v>
      </c>
      <c r="BJ113" s="957">
        <f t="shared" si="182"/>
        <v>0</v>
      </c>
      <c r="BK113" s="957">
        <f t="shared" si="182"/>
        <v>0</v>
      </c>
      <c r="BL113" s="948">
        <f t="shared" si="183"/>
        <v>17.68106666666667</v>
      </c>
      <c r="BM113" s="948">
        <f t="shared" si="183"/>
        <v>17.68106666666667</v>
      </c>
      <c r="BN113" s="948">
        <f t="shared" si="183"/>
        <v>14.245888000000001</v>
      </c>
      <c r="BO113" s="948">
        <f t="shared" si="183"/>
        <v>14.245888000000001</v>
      </c>
      <c r="BP113" s="948">
        <f t="shared" si="183"/>
        <v>17.68106666666667</v>
      </c>
      <c r="BQ113" s="948">
        <f t="shared" si="183"/>
        <v>17.68106666666667</v>
      </c>
      <c r="BR113" s="948">
        <f t="shared" si="183"/>
        <v>49.208618666666666</v>
      </c>
      <c r="BS113" s="948">
        <f t="shared" si="184"/>
        <v>0</v>
      </c>
      <c r="BT113" s="955">
        <f t="shared" si="185"/>
        <v>116.68605450733753</v>
      </c>
    </row>
    <row r="114" spans="1:72">
      <c r="A114" s="952">
        <v>12</v>
      </c>
      <c r="B114" s="952" t="s">
        <v>1126</v>
      </c>
      <c r="C114" s="950" t="s">
        <v>1127</v>
      </c>
      <c r="D114" s="950">
        <v>1</v>
      </c>
      <c r="E114" s="950">
        <v>1</v>
      </c>
      <c r="F114" s="948">
        <v>16</v>
      </c>
      <c r="G114" s="948">
        <v>0.3</v>
      </c>
      <c r="H114" s="948">
        <v>0.65</v>
      </c>
      <c r="I114" s="948">
        <v>0.12</v>
      </c>
      <c r="J114" s="948">
        <f t="shared" si="159"/>
        <v>0.53</v>
      </c>
      <c r="K114" s="948">
        <f t="shared" si="190"/>
        <v>2.544</v>
      </c>
      <c r="L114" s="948">
        <f t="shared" si="186"/>
        <v>16.96</v>
      </c>
      <c r="M114" s="952"/>
      <c r="N114" s="950">
        <f t="shared" si="192"/>
        <v>16</v>
      </c>
      <c r="O114" s="950">
        <f t="shared" si="192"/>
        <v>16</v>
      </c>
      <c r="P114" s="950">
        <f t="shared" si="192"/>
        <v>16</v>
      </c>
      <c r="Q114" s="950">
        <f t="shared" si="192"/>
        <v>16</v>
      </c>
      <c r="R114" s="950">
        <f t="shared" si="192"/>
        <v>16</v>
      </c>
      <c r="S114" s="950">
        <f t="shared" si="192"/>
        <v>16</v>
      </c>
      <c r="T114" s="950">
        <v>8</v>
      </c>
      <c r="U114" s="950"/>
      <c r="V114" s="950"/>
      <c r="W114" s="950">
        <v>200</v>
      </c>
      <c r="X114" s="950">
        <v>100</v>
      </c>
      <c r="Y114" s="950">
        <f>Y110</f>
        <v>100</v>
      </c>
      <c r="Z114" s="950">
        <v>4</v>
      </c>
      <c r="AA114" s="950">
        <v>4</v>
      </c>
      <c r="AB114" s="950">
        <v>2</v>
      </c>
      <c r="AC114" s="950">
        <v>2</v>
      </c>
      <c r="AD114" s="950">
        <v>4</v>
      </c>
      <c r="AE114" s="950">
        <v>4</v>
      </c>
      <c r="AF114" s="955">
        <f t="shared" si="161"/>
        <v>21</v>
      </c>
      <c r="AG114" s="955">
        <f t="shared" si="162"/>
        <v>81</v>
      </c>
      <c r="AH114" s="955">
        <f t="shared" si="163"/>
        <v>41</v>
      </c>
      <c r="AI114" s="955">
        <v>0</v>
      </c>
      <c r="AJ114" s="955">
        <v>0</v>
      </c>
      <c r="AK114" s="948">
        <f t="shared" si="164"/>
        <v>4.8000000000000007</v>
      </c>
      <c r="AL114" s="948">
        <f t="shared" si="165"/>
        <v>4.8000000000000007</v>
      </c>
      <c r="AM114" s="948">
        <f t="shared" si="166"/>
        <v>8.5120000000000005</v>
      </c>
      <c r="AN114" s="948">
        <f t="shared" si="167"/>
        <v>8.5120000000000005</v>
      </c>
      <c r="AO114" s="948">
        <f t="shared" si="168"/>
        <v>4.8000000000000007</v>
      </c>
      <c r="AP114" s="948">
        <f t="shared" si="169"/>
        <v>4.8000000000000007</v>
      </c>
      <c r="AQ114" s="948">
        <f t="shared" si="170"/>
        <v>1.708</v>
      </c>
      <c r="AR114" s="948">
        <f t="shared" si="191"/>
        <v>0</v>
      </c>
      <c r="AS114" s="948">
        <f t="shared" si="172"/>
        <v>0</v>
      </c>
      <c r="AT114" s="948">
        <f t="shared" si="173"/>
        <v>19.200000000000003</v>
      </c>
      <c r="AU114" s="948">
        <f t="shared" si="174"/>
        <v>19.200000000000003</v>
      </c>
      <c r="AV114" s="948">
        <f t="shared" si="175"/>
        <v>17.024000000000001</v>
      </c>
      <c r="AW114" s="948">
        <f t="shared" si="176"/>
        <v>17.024000000000001</v>
      </c>
      <c r="AX114" s="948">
        <f t="shared" si="177"/>
        <v>19.200000000000003</v>
      </c>
      <c r="AY114" s="948">
        <f t="shared" si="178"/>
        <v>19.200000000000003</v>
      </c>
      <c r="AZ114" s="948">
        <f t="shared" si="179"/>
        <v>244.244</v>
      </c>
      <c r="BA114" s="948">
        <f t="shared" si="180"/>
        <v>0</v>
      </c>
      <c r="BB114" s="948">
        <f t="shared" si="181"/>
        <v>0</v>
      </c>
      <c r="BC114" s="957">
        <f t="shared" si="182"/>
        <v>1.5786666666666667</v>
      </c>
      <c r="BD114" s="957">
        <f t="shared" si="182"/>
        <v>1.5786666666666667</v>
      </c>
      <c r="BE114" s="957">
        <f t="shared" si="182"/>
        <v>1.5786666666666667</v>
      </c>
      <c r="BF114" s="957">
        <f t="shared" si="182"/>
        <v>1.5786666666666667</v>
      </c>
      <c r="BG114" s="957">
        <f t="shared" si="182"/>
        <v>1.5786666666666667</v>
      </c>
      <c r="BH114" s="957">
        <f t="shared" si="182"/>
        <v>1.5786666666666667</v>
      </c>
      <c r="BI114" s="957">
        <f t="shared" si="182"/>
        <v>0.39466666666666667</v>
      </c>
      <c r="BJ114" s="957">
        <f t="shared" si="182"/>
        <v>0</v>
      </c>
      <c r="BK114" s="957">
        <f t="shared" si="182"/>
        <v>0</v>
      </c>
      <c r="BL114" s="948">
        <f t="shared" si="183"/>
        <v>30.310400000000005</v>
      </c>
      <c r="BM114" s="948">
        <f t="shared" si="183"/>
        <v>30.310400000000005</v>
      </c>
      <c r="BN114" s="948">
        <f t="shared" si="183"/>
        <v>26.875221333333336</v>
      </c>
      <c r="BO114" s="948">
        <f t="shared" si="183"/>
        <v>26.875221333333336</v>
      </c>
      <c r="BP114" s="948">
        <f t="shared" si="183"/>
        <v>30.310400000000005</v>
      </c>
      <c r="BQ114" s="948">
        <f t="shared" si="183"/>
        <v>30.310400000000005</v>
      </c>
      <c r="BR114" s="948">
        <f t="shared" si="183"/>
        <v>96.394965333333332</v>
      </c>
      <c r="BS114" s="948">
        <f t="shared" si="184"/>
        <v>0</v>
      </c>
      <c r="BT114" s="955">
        <f t="shared" si="185"/>
        <v>106.67728301886794</v>
      </c>
    </row>
    <row r="115" spans="1:72">
      <c r="A115" s="952">
        <v>13</v>
      </c>
      <c r="B115" s="952" t="s">
        <v>1128</v>
      </c>
      <c r="C115" s="950" t="s">
        <v>1129</v>
      </c>
      <c r="D115" s="950">
        <v>1</v>
      </c>
      <c r="E115" s="950">
        <v>1</v>
      </c>
      <c r="F115" s="948">
        <v>25.2</v>
      </c>
      <c r="G115" s="948">
        <v>0.3</v>
      </c>
      <c r="H115" s="948">
        <v>0.65</v>
      </c>
      <c r="I115" s="948">
        <v>0.12</v>
      </c>
      <c r="J115" s="948">
        <f t="shared" si="159"/>
        <v>0.53</v>
      </c>
      <c r="K115" s="948">
        <f t="shared" si="190"/>
        <v>4.0068000000000001</v>
      </c>
      <c r="L115" s="948">
        <f t="shared" si="186"/>
        <v>26.712</v>
      </c>
      <c r="M115" s="952"/>
      <c r="N115" s="950">
        <f t="shared" ref="N115:S115" si="193">N110</f>
        <v>16</v>
      </c>
      <c r="O115" s="950">
        <f t="shared" si="193"/>
        <v>16</v>
      </c>
      <c r="P115" s="950">
        <f t="shared" si="193"/>
        <v>16</v>
      </c>
      <c r="Q115" s="950">
        <f t="shared" si="193"/>
        <v>16</v>
      </c>
      <c r="R115" s="950">
        <f t="shared" si="193"/>
        <v>16</v>
      </c>
      <c r="S115" s="950">
        <f t="shared" si="193"/>
        <v>16</v>
      </c>
      <c r="T115" s="950">
        <v>8</v>
      </c>
      <c r="U115" s="950"/>
      <c r="V115" s="950"/>
      <c r="W115" s="950">
        <v>200</v>
      </c>
      <c r="X115" s="950">
        <v>100</v>
      </c>
      <c r="Y115" s="950">
        <f t="shared" ref="Y115" si="194">X115</f>
        <v>100</v>
      </c>
      <c r="Z115" s="950">
        <v>9</v>
      </c>
      <c r="AA115" s="950">
        <v>6</v>
      </c>
      <c r="AB115" s="950">
        <v>16</v>
      </c>
      <c r="AC115" s="950">
        <v>16</v>
      </c>
      <c r="AD115" s="950">
        <v>9</v>
      </c>
      <c r="AE115" s="950">
        <v>6</v>
      </c>
      <c r="AF115" s="955">
        <f t="shared" si="161"/>
        <v>32.5</v>
      </c>
      <c r="AG115" s="955">
        <f t="shared" si="162"/>
        <v>126.99999999999999</v>
      </c>
      <c r="AH115" s="955">
        <f t="shared" si="163"/>
        <v>63.999999999999993</v>
      </c>
      <c r="AI115" s="955">
        <v>0</v>
      </c>
      <c r="AJ115" s="955">
        <v>0</v>
      </c>
      <c r="AK115" s="948">
        <f t="shared" si="164"/>
        <v>7.1000000000000005</v>
      </c>
      <c r="AL115" s="948">
        <f t="shared" si="165"/>
        <v>7.1000000000000005</v>
      </c>
      <c r="AM115" s="948">
        <f t="shared" si="166"/>
        <v>13.112</v>
      </c>
      <c r="AN115" s="948">
        <f t="shared" si="167"/>
        <v>13.112</v>
      </c>
      <c r="AO115" s="948">
        <f t="shared" si="168"/>
        <v>7.1000000000000005</v>
      </c>
      <c r="AP115" s="948">
        <f t="shared" si="169"/>
        <v>7.1000000000000005</v>
      </c>
      <c r="AQ115" s="948">
        <f t="shared" si="170"/>
        <v>1.708</v>
      </c>
      <c r="AR115" s="948">
        <f t="shared" si="191"/>
        <v>0</v>
      </c>
      <c r="AS115" s="948">
        <f t="shared" si="172"/>
        <v>0</v>
      </c>
      <c r="AT115" s="948">
        <f t="shared" si="173"/>
        <v>63.900000000000006</v>
      </c>
      <c r="AU115" s="948">
        <f t="shared" si="174"/>
        <v>42.6</v>
      </c>
      <c r="AV115" s="948">
        <f t="shared" si="175"/>
        <v>209.792</v>
      </c>
      <c r="AW115" s="948">
        <f t="shared" si="176"/>
        <v>209.792</v>
      </c>
      <c r="AX115" s="948">
        <f t="shared" si="177"/>
        <v>63.900000000000006</v>
      </c>
      <c r="AY115" s="948">
        <f t="shared" si="178"/>
        <v>42.6</v>
      </c>
      <c r="AZ115" s="948">
        <f t="shared" si="179"/>
        <v>381.738</v>
      </c>
      <c r="BA115" s="948">
        <f t="shared" si="180"/>
        <v>0</v>
      </c>
      <c r="BB115" s="948">
        <f t="shared" si="181"/>
        <v>0</v>
      </c>
      <c r="BC115" s="957">
        <f t="shared" si="182"/>
        <v>1.5786666666666667</v>
      </c>
      <c r="BD115" s="957">
        <f t="shared" si="182"/>
        <v>1.5786666666666667</v>
      </c>
      <c r="BE115" s="957">
        <f t="shared" si="182"/>
        <v>1.5786666666666667</v>
      </c>
      <c r="BF115" s="957">
        <f t="shared" si="182"/>
        <v>1.5786666666666667</v>
      </c>
      <c r="BG115" s="957">
        <f t="shared" si="182"/>
        <v>1.5786666666666667</v>
      </c>
      <c r="BH115" s="957">
        <f t="shared" si="182"/>
        <v>1.5786666666666667</v>
      </c>
      <c r="BI115" s="957">
        <f t="shared" si="182"/>
        <v>0.39466666666666667</v>
      </c>
      <c r="BJ115" s="957">
        <f t="shared" si="182"/>
        <v>0</v>
      </c>
      <c r="BK115" s="957">
        <f t="shared" si="182"/>
        <v>0</v>
      </c>
      <c r="BL115" s="948">
        <f t="shared" si="183"/>
        <v>100.8768</v>
      </c>
      <c r="BM115" s="948">
        <f t="shared" si="183"/>
        <v>67.251199999999997</v>
      </c>
      <c r="BN115" s="948">
        <f t="shared" si="183"/>
        <v>331.19163733333335</v>
      </c>
      <c r="BO115" s="948">
        <f t="shared" si="183"/>
        <v>331.19163733333335</v>
      </c>
      <c r="BP115" s="948">
        <f t="shared" si="183"/>
        <v>100.8768</v>
      </c>
      <c r="BQ115" s="948">
        <f t="shared" si="183"/>
        <v>67.251199999999997</v>
      </c>
      <c r="BR115" s="948">
        <f t="shared" si="183"/>
        <v>150.65926400000001</v>
      </c>
      <c r="BS115" s="948">
        <f t="shared" si="184"/>
        <v>0</v>
      </c>
      <c r="BT115" s="955">
        <f t="shared" si="185"/>
        <v>286.83701174669727</v>
      </c>
    </row>
    <row r="116" spans="1:72">
      <c r="A116" s="952"/>
      <c r="B116" s="952"/>
      <c r="C116" s="950"/>
      <c r="D116" s="950"/>
      <c r="E116" s="950"/>
      <c r="F116" s="948"/>
      <c r="G116" s="948"/>
      <c r="H116" s="948"/>
      <c r="I116" s="948"/>
      <c r="J116" s="948"/>
      <c r="K116" s="948">
        <f>SUM(K89:K115)</f>
        <v>153.6148</v>
      </c>
      <c r="L116" s="948">
        <f>SUM(L89:L115)</f>
        <v>1099.4800000000002</v>
      </c>
      <c r="M116" s="952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5"/>
      <c r="AG116" s="955"/>
      <c r="AH116" s="955"/>
      <c r="AI116" s="955"/>
      <c r="AJ116" s="955"/>
      <c r="AK116" s="948"/>
      <c r="AL116" s="948"/>
      <c r="AM116" s="948"/>
      <c r="AN116" s="948"/>
      <c r="AO116" s="948"/>
      <c r="AP116" s="948"/>
      <c r="AQ116" s="948"/>
      <c r="AR116" s="948"/>
      <c r="AS116" s="948"/>
      <c r="AT116" s="948"/>
      <c r="AU116" s="948"/>
      <c r="AV116" s="948"/>
      <c r="AW116" s="948"/>
      <c r="AX116" s="948"/>
      <c r="AY116" s="948"/>
      <c r="AZ116" s="948"/>
      <c r="BA116" s="948"/>
      <c r="BB116" s="948"/>
      <c r="BC116" s="957"/>
      <c r="BD116" s="957"/>
      <c r="BE116" s="957"/>
      <c r="BF116" s="957"/>
      <c r="BG116" s="957"/>
      <c r="BH116" s="957"/>
      <c r="BI116" s="957"/>
      <c r="BJ116" s="957"/>
      <c r="BK116" s="957"/>
      <c r="BL116" s="948"/>
      <c r="BM116" s="948"/>
      <c r="BN116" s="948"/>
      <c r="BO116" s="948"/>
      <c r="BP116" s="948"/>
      <c r="BQ116" s="948"/>
      <c r="BR116" s="948"/>
      <c r="BS116" s="948"/>
      <c r="BT116" s="955"/>
    </row>
    <row r="117" spans="1:72">
      <c r="A117" s="952"/>
      <c r="B117" s="952"/>
      <c r="C117" s="950"/>
      <c r="D117" s="950"/>
      <c r="E117" s="950"/>
      <c r="F117" s="948"/>
      <c r="G117" s="948"/>
      <c r="H117" s="948"/>
      <c r="I117" s="948"/>
      <c r="J117" s="948"/>
      <c r="K117" s="948"/>
      <c r="L117" s="948"/>
      <c r="M117" s="952"/>
      <c r="N117" s="950"/>
      <c r="O117" s="950"/>
      <c r="P117" s="950"/>
      <c r="Q117" s="950"/>
      <c r="R117" s="950"/>
      <c r="S117" s="950"/>
      <c r="T117" s="950"/>
      <c r="U117" s="950"/>
      <c r="V117" s="950"/>
      <c r="W117" s="950"/>
      <c r="X117" s="950"/>
      <c r="Y117" s="950"/>
      <c r="Z117" s="950"/>
      <c r="AA117" s="950"/>
      <c r="AB117" s="950"/>
      <c r="AC117" s="950"/>
      <c r="AD117" s="950"/>
      <c r="AE117" s="950"/>
      <c r="AF117" s="955"/>
      <c r="AG117" s="955"/>
      <c r="AH117" s="955"/>
      <c r="AI117" s="955"/>
      <c r="AJ117" s="955"/>
      <c r="AK117" s="948"/>
      <c r="AL117" s="948"/>
      <c r="AM117" s="948"/>
      <c r="AN117" s="948"/>
      <c r="AO117" s="948"/>
      <c r="AP117" s="948"/>
      <c r="AQ117" s="948"/>
      <c r="AR117" s="948"/>
      <c r="AS117" s="948"/>
      <c r="AT117" s="948"/>
      <c r="AU117" s="948"/>
      <c r="AV117" s="948"/>
      <c r="AW117" s="948"/>
      <c r="AX117" s="948"/>
      <c r="AY117" s="948"/>
      <c r="AZ117" s="948"/>
      <c r="BA117" s="948"/>
      <c r="BB117" s="948"/>
      <c r="BC117" s="957"/>
      <c r="BD117" s="957"/>
      <c r="BE117" s="957"/>
      <c r="BF117" s="957"/>
      <c r="BG117" s="957"/>
      <c r="BH117" s="957"/>
      <c r="BI117" s="957"/>
      <c r="BJ117" s="957"/>
      <c r="BK117" s="957"/>
      <c r="BL117" s="948"/>
      <c r="BM117" s="948"/>
      <c r="BN117" s="948"/>
      <c r="BO117" s="948"/>
      <c r="BP117" s="948"/>
      <c r="BQ117" s="948"/>
      <c r="BR117" s="948"/>
      <c r="BS117" s="948"/>
      <c r="BT117" s="955"/>
    </row>
    <row r="118" spans="1:72">
      <c r="A118" s="949" t="s">
        <v>66</v>
      </c>
      <c r="B118" s="949" t="s">
        <v>1050</v>
      </c>
      <c r="C118" s="949" t="s">
        <v>983</v>
      </c>
      <c r="D118" s="950" t="s">
        <v>1051</v>
      </c>
      <c r="E118" s="950" t="s">
        <v>1052</v>
      </c>
      <c r="F118" s="951" t="s">
        <v>984</v>
      </c>
      <c r="G118" s="951"/>
      <c r="H118" s="951"/>
      <c r="I118" s="948" t="s">
        <v>985</v>
      </c>
      <c r="J118" s="948" t="s">
        <v>1053</v>
      </c>
      <c r="K118" s="948" t="s">
        <v>392</v>
      </c>
      <c r="L118" s="948" t="s">
        <v>377</v>
      </c>
      <c r="M118" s="952"/>
      <c r="N118" s="949" t="s">
        <v>1054</v>
      </c>
      <c r="O118" s="949"/>
      <c r="P118" s="949"/>
      <c r="Q118" s="949"/>
      <c r="R118" s="949"/>
      <c r="S118" s="949"/>
      <c r="T118" s="949" t="s">
        <v>1055</v>
      </c>
      <c r="U118" s="949"/>
      <c r="V118" s="949"/>
      <c r="W118" s="949" t="s">
        <v>989</v>
      </c>
      <c r="X118" s="949"/>
      <c r="Y118" s="949"/>
      <c r="Z118" s="949" t="s">
        <v>1056</v>
      </c>
      <c r="AA118" s="949"/>
      <c r="AB118" s="949"/>
      <c r="AC118" s="949"/>
      <c r="AD118" s="949"/>
      <c r="AE118" s="949"/>
      <c r="AF118" s="953" t="s">
        <v>1057</v>
      </c>
      <c r="AG118" s="953"/>
      <c r="AH118" s="953"/>
      <c r="AI118" s="953"/>
      <c r="AJ118" s="953"/>
      <c r="AK118" s="951" t="s">
        <v>1058</v>
      </c>
      <c r="AL118" s="951"/>
      <c r="AM118" s="951"/>
      <c r="AN118" s="951"/>
      <c r="AO118" s="951"/>
      <c r="AP118" s="951"/>
      <c r="AQ118" s="951" t="s">
        <v>1059</v>
      </c>
      <c r="AR118" s="951"/>
      <c r="AS118" s="951"/>
      <c r="AT118" s="951" t="s">
        <v>1060</v>
      </c>
      <c r="AU118" s="951"/>
      <c r="AV118" s="951"/>
      <c r="AW118" s="951"/>
      <c r="AX118" s="951"/>
      <c r="AY118" s="951"/>
      <c r="AZ118" s="951" t="s">
        <v>1061</v>
      </c>
      <c r="BA118" s="951"/>
      <c r="BB118" s="951"/>
      <c r="BC118" s="954" t="s">
        <v>1062</v>
      </c>
      <c r="BD118" s="954"/>
      <c r="BE118" s="954"/>
      <c r="BF118" s="954"/>
      <c r="BG118" s="954"/>
      <c r="BH118" s="954"/>
      <c r="BI118" s="954" t="s">
        <v>996</v>
      </c>
      <c r="BJ118" s="954"/>
      <c r="BK118" s="954"/>
      <c r="BL118" s="951" t="s">
        <v>997</v>
      </c>
      <c r="BM118" s="951"/>
      <c r="BN118" s="951"/>
      <c r="BO118" s="951"/>
      <c r="BP118" s="951"/>
      <c r="BQ118" s="951"/>
      <c r="BR118" s="951"/>
      <c r="BS118" s="951"/>
      <c r="BT118" s="955" t="s">
        <v>998</v>
      </c>
    </row>
    <row r="119" spans="1:72">
      <c r="A119" s="949"/>
      <c r="B119" s="949"/>
      <c r="C119" s="949"/>
      <c r="D119" s="949" t="s">
        <v>1063</v>
      </c>
      <c r="E119" s="949" t="s">
        <v>391</v>
      </c>
      <c r="F119" s="948" t="s">
        <v>999</v>
      </c>
      <c r="G119" s="948" t="s">
        <v>1000</v>
      </c>
      <c r="H119" s="948" t="s">
        <v>1001</v>
      </c>
      <c r="I119" s="948" t="s">
        <v>1002</v>
      </c>
      <c r="J119" s="948" t="s">
        <v>1003</v>
      </c>
      <c r="K119" s="951" t="s">
        <v>1064</v>
      </c>
      <c r="L119" s="948"/>
      <c r="M119" s="952"/>
      <c r="N119" s="949" t="s">
        <v>1001</v>
      </c>
      <c r="O119" s="949"/>
      <c r="P119" s="949" t="s">
        <v>1000</v>
      </c>
      <c r="Q119" s="949"/>
      <c r="R119" s="949" t="s">
        <v>1001</v>
      </c>
      <c r="S119" s="949"/>
      <c r="T119" s="950" t="s">
        <v>1007</v>
      </c>
      <c r="U119" s="949" t="s">
        <v>1005</v>
      </c>
      <c r="V119" s="949"/>
      <c r="W119" s="949"/>
      <c r="X119" s="949" t="s">
        <v>1000</v>
      </c>
      <c r="Y119" s="949" t="s">
        <v>1001</v>
      </c>
      <c r="Z119" s="949" t="s">
        <v>1001</v>
      </c>
      <c r="AA119" s="949"/>
      <c r="AB119" s="949" t="s">
        <v>1000</v>
      </c>
      <c r="AC119" s="949"/>
      <c r="AD119" s="949" t="s">
        <v>1001</v>
      </c>
      <c r="AE119" s="949"/>
      <c r="AF119" s="953" t="s">
        <v>1004</v>
      </c>
      <c r="AG119" s="953"/>
      <c r="AH119" s="953"/>
      <c r="AI119" s="953" t="s">
        <v>1065</v>
      </c>
      <c r="AJ119" s="953"/>
      <c r="AK119" s="951" t="s">
        <v>1001</v>
      </c>
      <c r="AL119" s="951"/>
      <c r="AM119" s="951" t="s">
        <v>1000</v>
      </c>
      <c r="AN119" s="951"/>
      <c r="AO119" s="951" t="s">
        <v>1001</v>
      </c>
      <c r="AP119" s="951"/>
      <c r="AQ119" s="951" t="s">
        <v>1004</v>
      </c>
      <c r="AR119" s="951" t="s">
        <v>1005</v>
      </c>
      <c r="AS119" s="951"/>
      <c r="AT119" s="951" t="s">
        <v>1066</v>
      </c>
      <c r="AU119" s="951"/>
      <c r="AV119" s="951" t="s">
        <v>1000</v>
      </c>
      <c r="AW119" s="951"/>
      <c r="AX119" s="951" t="s">
        <v>1001</v>
      </c>
      <c r="AY119" s="951"/>
      <c r="AZ119" s="951" t="s">
        <v>1004</v>
      </c>
      <c r="BA119" s="951" t="s">
        <v>1005</v>
      </c>
      <c r="BB119" s="951"/>
      <c r="BC119" s="953" t="s">
        <v>1001</v>
      </c>
      <c r="BD119" s="953"/>
      <c r="BE119" s="953" t="s">
        <v>1000</v>
      </c>
      <c r="BF119" s="953"/>
      <c r="BG119" s="951" t="s">
        <v>1001</v>
      </c>
      <c r="BH119" s="951"/>
      <c r="BI119" s="956" t="s">
        <v>1004</v>
      </c>
      <c r="BJ119" s="954" t="s">
        <v>1005</v>
      </c>
      <c r="BK119" s="954"/>
      <c r="BL119" s="951" t="s">
        <v>1006</v>
      </c>
      <c r="BM119" s="951"/>
      <c r="BN119" s="951"/>
      <c r="BO119" s="951"/>
      <c r="BP119" s="951"/>
      <c r="BQ119" s="951"/>
      <c r="BR119" s="951" t="s">
        <v>1067</v>
      </c>
      <c r="BS119" s="951"/>
      <c r="BT119" s="953" t="s">
        <v>1068</v>
      </c>
    </row>
    <row r="120" spans="1:72">
      <c r="A120" s="949"/>
      <c r="B120" s="949"/>
      <c r="C120" s="949" t="s">
        <v>391</v>
      </c>
      <c r="D120" s="949"/>
      <c r="E120" s="949"/>
      <c r="F120" s="948" t="s">
        <v>1069</v>
      </c>
      <c r="G120" s="948" t="s">
        <v>1069</v>
      </c>
      <c r="H120" s="948" t="s">
        <v>1069</v>
      </c>
      <c r="I120" s="948" t="s">
        <v>1069</v>
      </c>
      <c r="J120" s="948" t="s">
        <v>1069</v>
      </c>
      <c r="K120" s="951"/>
      <c r="L120" s="948" t="s">
        <v>1070</v>
      </c>
      <c r="M120" s="952"/>
      <c r="N120" s="949"/>
      <c r="O120" s="949"/>
      <c r="P120" s="949"/>
      <c r="Q120" s="949"/>
      <c r="R120" s="949"/>
      <c r="S120" s="949"/>
      <c r="T120" s="950" t="s">
        <v>1071</v>
      </c>
      <c r="U120" s="950" t="s">
        <v>1012</v>
      </c>
      <c r="V120" s="950" t="s">
        <v>494</v>
      </c>
      <c r="W120" s="949"/>
      <c r="X120" s="949"/>
      <c r="Y120" s="949"/>
      <c r="Z120" s="949"/>
      <c r="AA120" s="949"/>
      <c r="AB120" s="949"/>
      <c r="AC120" s="949"/>
      <c r="AD120" s="949"/>
      <c r="AE120" s="949"/>
      <c r="AF120" s="955" t="s">
        <v>1001</v>
      </c>
      <c r="AG120" s="955" t="s">
        <v>1000</v>
      </c>
      <c r="AH120" s="955" t="s">
        <v>1001</v>
      </c>
      <c r="AI120" s="955" t="s">
        <v>1012</v>
      </c>
      <c r="AJ120" s="955" t="s">
        <v>494</v>
      </c>
      <c r="AK120" s="951"/>
      <c r="AL120" s="951"/>
      <c r="AM120" s="951"/>
      <c r="AN120" s="951"/>
      <c r="AO120" s="951"/>
      <c r="AP120" s="951"/>
      <c r="AQ120" s="951"/>
      <c r="AR120" s="948" t="s">
        <v>1012</v>
      </c>
      <c r="AS120" s="948" t="s">
        <v>494</v>
      </c>
      <c r="AT120" s="951"/>
      <c r="AU120" s="951"/>
      <c r="AV120" s="951"/>
      <c r="AW120" s="951"/>
      <c r="AX120" s="951"/>
      <c r="AY120" s="951"/>
      <c r="AZ120" s="951"/>
      <c r="BA120" s="948" t="s">
        <v>1012</v>
      </c>
      <c r="BB120" s="948" t="s">
        <v>494</v>
      </c>
      <c r="BC120" s="953"/>
      <c r="BD120" s="953"/>
      <c r="BE120" s="953"/>
      <c r="BF120" s="953"/>
      <c r="BG120" s="951"/>
      <c r="BH120" s="951"/>
      <c r="BI120" s="957"/>
      <c r="BJ120" s="957" t="s">
        <v>1012</v>
      </c>
      <c r="BK120" s="957" t="s">
        <v>494</v>
      </c>
      <c r="BL120" s="951" t="s">
        <v>1001</v>
      </c>
      <c r="BM120" s="951"/>
      <c r="BN120" s="951" t="s">
        <v>1000</v>
      </c>
      <c r="BO120" s="951"/>
      <c r="BP120" s="951" t="s">
        <v>1001</v>
      </c>
      <c r="BQ120" s="951"/>
      <c r="BR120" s="951" t="s">
        <v>1004</v>
      </c>
      <c r="BS120" s="948"/>
      <c r="BT120" s="953"/>
    </row>
    <row r="121" spans="1:72">
      <c r="A121" s="949"/>
      <c r="B121" s="949"/>
      <c r="C121" s="949"/>
      <c r="D121" s="950" t="s">
        <v>1072</v>
      </c>
      <c r="E121" s="950" t="s">
        <v>1073</v>
      </c>
      <c r="F121" s="948" t="s">
        <v>1074</v>
      </c>
      <c r="G121" s="948" t="s">
        <v>1075</v>
      </c>
      <c r="H121" s="948" t="s">
        <v>1076</v>
      </c>
      <c r="I121" s="948" t="s">
        <v>1077</v>
      </c>
      <c r="J121" s="948" t="s">
        <v>1078</v>
      </c>
      <c r="K121" s="948" t="s">
        <v>1079</v>
      </c>
      <c r="L121" s="948" t="s">
        <v>1080</v>
      </c>
      <c r="M121" s="952"/>
      <c r="N121" s="949" t="s">
        <v>1081</v>
      </c>
      <c r="O121" s="949"/>
      <c r="P121" s="949"/>
      <c r="Q121" s="949"/>
      <c r="R121" s="949"/>
      <c r="S121" s="949"/>
      <c r="T121" s="950" t="s">
        <v>1082</v>
      </c>
      <c r="U121" s="949" t="s">
        <v>1081</v>
      </c>
      <c r="V121" s="949"/>
      <c r="W121" s="949" t="s">
        <v>1081</v>
      </c>
      <c r="X121" s="949"/>
      <c r="Y121" s="949"/>
      <c r="Z121" s="949" t="s">
        <v>1082</v>
      </c>
      <c r="AA121" s="949"/>
      <c r="AB121" s="949"/>
      <c r="AC121" s="949"/>
      <c r="AD121" s="949"/>
      <c r="AE121" s="949"/>
      <c r="AF121" s="953" t="s">
        <v>1082</v>
      </c>
      <c r="AG121" s="953"/>
      <c r="AH121" s="953"/>
      <c r="AI121" s="953"/>
      <c r="AJ121" s="953"/>
      <c r="AK121" s="951" t="s">
        <v>1069</v>
      </c>
      <c r="AL121" s="951"/>
      <c r="AM121" s="951"/>
      <c r="AN121" s="951"/>
      <c r="AO121" s="951"/>
      <c r="AP121" s="951"/>
      <c r="AQ121" s="951"/>
      <c r="AR121" s="951"/>
      <c r="AS121" s="951"/>
      <c r="AT121" s="951"/>
      <c r="AU121" s="951"/>
      <c r="AV121" s="951"/>
      <c r="AW121" s="951"/>
      <c r="AX121" s="951"/>
      <c r="AY121" s="951"/>
      <c r="AZ121" s="951"/>
      <c r="BA121" s="951"/>
      <c r="BB121" s="951"/>
      <c r="BC121" s="954"/>
      <c r="BD121" s="954"/>
      <c r="BE121" s="954"/>
      <c r="BF121" s="954"/>
      <c r="BG121" s="954"/>
      <c r="BH121" s="954"/>
      <c r="BI121" s="954"/>
      <c r="BJ121" s="954"/>
      <c r="BK121" s="954"/>
      <c r="BL121" s="951"/>
      <c r="BM121" s="951"/>
      <c r="BN121" s="951"/>
      <c r="BO121" s="951"/>
      <c r="BP121" s="951"/>
      <c r="BQ121" s="951"/>
      <c r="BR121" s="951"/>
      <c r="BS121" s="948" t="s">
        <v>494</v>
      </c>
      <c r="BT121" s="953"/>
    </row>
    <row r="122" spans="1:72">
      <c r="A122" s="952"/>
      <c r="B122" s="952"/>
      <c r="C122" s="950"/>
      <c r="D122" s="950"/>
      <c r="E122" s="950"/>
      <c r="F122" s="948"/>
      <c r="G122" s="948"/>
      <c r="H122" s="948"/>
      <c r="I122" s="948"/>
      <c r="J122" s="948"/>
      <c r="K122" s="948"/>
      <c r="L122" s="948"/>
      <c r="M122" s="952"/>
      <c r="N122" s="950"/>
      <c r="O122" s="950"/>
      <c r="P122" s="950"/>
      <c r="Q122" s="950"/>
      <c r="R122" s="950"/>
      <c r="S122" s="950"/>
      <c r="T122" s="950"/>
      <c r="U122" s="950"/>
      <c r="V122" s="950"/>
      <c r="W122" s="950"/>
      <c r="X122" s="950"/>
      <c r="Y122" s="950"/>
      <c r="Z122" s="950"/>
      <c r="AA122" s="950"/>
      <c r="AB122" s="950"/>
      <c r="AC122" s="950"/>
      <c r="AD122" s="950"/>
      <c r="AE122" s="950"/>
      <c r="AF122" s="955"/>
      <c r="AG122" s="955"/>
      <c r="AH122" s="955"/>
      <c r="AI122" s="955"/>
      <c r="AJ122" s="955"/>
      <c r="AK122" s="948"/>
      <c r="AL122" s="948"/>
      <c r="AM122" s="948"/>
      <c r="AN122" s="948"/>
      <c r="AO122" s="948"/>
      <c r="AP122" s="948"/>
      <c r="AQ122" s="948"/>
      <c r="AR122" s="948"/>
      <c r="AS122" s="948"/>
      <c r="AT122" s="948"/>
      <c r="AU122" s="948"/>
      <c r="AV122" s="948"/>
      <c r="AW122" s="948"/>
      <c r="AX122" s="948"/>
      <c r="AY122" s="948"/>
      <c r="AZ122" s="948"/>
      <c r="BA122" s="948"/>
      <c r="BB122" s="948"/>
      <c r="BC122" s="957"/>
      <c r="BD122" s="957"/>
      <c r="BE122" s="957"/>
      <c r="BF122" s="957"/>
      <c r="BG122" s="957"/>
      <c r="BH122" s="957"/>
      <c r="BI122" s="957"/>
      <c r="BJ122" s="957"/>
      <c r="BK122" s="957"/>
      <c r="BL122" s="948"/>
      <c r="BM122" s="948"/>
      <c r="BN122" s="948"/>
      <c r="BO122" s="948"/>
      <c r="BP122" s="948"/>
      <c r="BQ122" s="948"/>
      <c r="BR122" s="948"/>
      <c r="BS122" s="948"/>
      <c r="BT122" s="955"/>
    </row>
    <row r="123" spans="1:72">
      <c r="A123" s="958" t="s">
        <v>1145</v>
      </c>
      <c r="B123" s="952"/>
      <c r="C123" s="950"/>
      <c r="D123" s="950"/>
      <c r="E123" s="950"/>
      <c r="F123" s="948"/>
      <c r="G123" s="948"/>
      <c r="H123" s="948"/>
      <c r="I123" s="948"/>
      <c r="J123" s="948"/>
      <c r="K123" s="948"/>
      <c r="L123" s="948"/>
      <c r="M123" s="952"/>
      <c r="N123" s="959" t="str">
        <f>A123</f>
        <v>Balok Lantai 3</v>
      </c>
      <c r="O123" s="959"/>
      <c r="P123" s="950"/>
      <c r="Q123" s="950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950"/>
      <c r="AE123" s="950"/>
      <c r="AF123" s="955"/>
      <c r="AG123" s="955"/>
      <c r="AH123" s="955"/>
      <c r="AI123" s="955"/>
      <c r="AJ123" s="955"/>
      <c r="AK123" s="948"/>
      <c r="AL123" s="948"/>
      <c r="AM123" s="948"/>
      <c r="AN123" s="948"/>
      <c r="AO123" s="948"/>
      <c r="AP123" s="948"/>
      <c r="AQ123" s="948"/>
      <c r="AR123" s="948"/>
      <c r="AS123" s="948"/>
      <c r="AT123" s="948"/>
      <c r="AU123" s="948"/>
      <c r="AV123" s="948"/>
      <c r="AW123" s="948"/>
      <c r="AX123" s="948"/>
      <c r="AY123" s="948"/>
      <c r="AZ123" s="948"/>
      <c r="BA123" s="948"/>
      <c r="BB123" s="948"/>
      <c r="BC123" s="957"/>
      <c r="BD123" s="957"/>
      <c r="BE123" s="957"/>
      <c r="BF123" s="957"/>
      <c r="BG123" s="957"/>
      <c r="BH123" s="957"/>
      <c r="BI123" s="957"/>
      <c r="BJ123" s="957"/>
      <c r="BK123" s="957"/>
      <c r="BL123" s="948"/>
      <c r="BM123" s="948"/>
      <c r="BN123" s="948"/>
      <c r="BO123" s="948"/>
      <c r="BP123" s="948"/>
      <c r="BQ123" s="948"/>
      <c r="BR123" s="948"/>
      <c r="BS123" s="948"/>
      <c r="BT123" s="955"/>
    </row>
    <row r="124" spans="1:72">
      <c r="A124" s="960" t="s">
        <v>2</v>
      </c>
      <c r="B124" s="960" t="s">
        <v>1084</v>
      </c>
      <c r="C124" s="950"/>
      <c r="D124" s="950"/>
      <c r="E124" s="950"/>
      <c r="F124" s="948"/>
      <c r="G124" s="948"/>
      <c r="H124" s="948"/>
      <c r="I124" s="948"/>
      <c r="J124" s="948"/>
      <c r="K124" s="948"/>
      <c r="L124" s="948"/>
      <c r="M124" s="952"/>
      <c r="N124" s="959" t="str">
        <f>A124</f>
        <v>A</v>
      </c>
      <c r="O124" s="959" t="str">
        <f>B124</f>
        <v>Vertikal</v>
      </c>
      <c r="P124" s="950"/>
      <c r="Q124" s="950"/>
      <c r="R124" s="950"/>
      <c r="S124" s="950"/>
      <c r="T124" s="950"/>
      <c r="U124" s="950"/>
      <c r="V124" s="950"/>
      <c r="W124" s="950"/>
      <c r="X124" s="950"/>
      <c r="Y124" s="950"/>
      <c r="Z124" s="950"/>
      <c r="AA124" s="950"/>
      <c r="AB124" s="950"/>
      <c r="AC124" s="950"/>
      <c r="AD124" s="950"/>
      <c r="AE124" s="950"/>
      <c r="AF124" s="955"/>
      <c r="AG124" s="955"/>
      <c r="AH124" s="955"/>
      <c r="AI124" s="955"/>
      <c r="AJ124" s="955"/>
      <c r="AK124" s="948"/>
      <c r="AL124" s="948"/>
      <c r="AM124" s="948"/>
      <c r="AN124" s="948"/>
      <c r="AO124" s="948"/>
      <c r="AP124" s="948"/>
      <c r="AQ124" s="948"/>
      <c r="AR124" s="948"/>
      <c r="AS124" s="948"/>
      <c r="AT124" s="948"/>
      <c r="AU124" s="948"/>
      <c r="AV124" s="948"/>
      <c r="AW124" s="948"/>
      <c r="AX124" s="948"/>
      <c r="AY124" s="948"/>
      <c r="AZ124" s="948"/>
      <c r="BA124" s="948"/>
      <c r="BB124" s="948"/>
      <c r="BC124" s="957"/>
      <c r="BD124" s="957"/>
      <c r="BE124" s="957"/>
      <c r="BF124" s="957"/>
      <c r="BG124" s="957"/>
      <c r="BH124" s="957"/>
      <c r="BI124" s="957"/>
      <c r="BJ124" s="957"/>
      <c r="BK124" s="957"/>
      <c r="BL124" s="948"/>
      <c r="BM124" s="948"/>
      <c r="BN124" s="948"/>
      <c r="BO124" s="948"/>
      <c r="BP124" s="948"/>
      <c r="BQ124" s="948"/>
      <c r="BR124" s="948"/>
      <c r="BS124" s="948"/>
      <c r="BT124" s="955"/>
    </row>
    <row r="125" spans="1:72">
      <c r="A125" s="952">
        <v>1</v>
      </c>
      <c r="B125" s="952" t="s">
        <v>1146</v>
      </c>
      <c r="C125" s="950" t="s">
        <v>1086</v>
      </c>
      <c r="D125" s="950">
        <v>1</v>
      </c>
      <c r="E125" s="950">
        <v>1</v>
      </c>
      <c r="F125" s="948">
        <v>104</v>
      </c>
      <c r="G125" s="948">
        <v>0.3</v>
      </c>
      <c r="H125" s="948">
        <v>0.7</v>
      </c>
      <c r="I125" s="948">
        <v>0.12</v>
      </c>
      <c r="J125" s="948">
        <f t="shared" ref="J125:J136" si="195">H125-I125</f>
        <v>0.57999999999999996</v>
      </c>
      <c r="K125" s="948">
        <f t="shared" ref="K125:K133" si="196">F125*G125*J125*D125*E125</f>
        <v>18.096</v>
      </c>
      <c r="L125" s="948">
        <f t="shared" ref="L125:L130" si="197">(2*J125)*F125*E125*D125</f>
        <v>120.63999999999999</v>
      </c>
      <c r="M125" s="952"/>
      <c r="N125" s="950">
        <v>19</v>
      </c>
      <c r="O125" s="950">
        <v>19</v>
      </c>
      <c r="P125" s="950">
        <v>19</v>
      </c>
      <c r="Q125" s="950">
        <v>19</v>
      </c>
      <c r="R125" s="950">
        <v>19</v>
      </c>
      <c r="S125" s="950">
        <v>19</v>
      </c>
      <c r="T125" s="950">
        <v>8</v>
      </c>
      <c r="U125" s="950"/>
      <c r="V125" s="950"/>
      <c r="W125" s="950">
        <v>200</v>
      </c>
      <c r="X125" s="950">
        <v>100</v>
      </c>
      <c r="Y125" s="950">
        <v>100</v>
      </c>
      <c r="Z125" s="950">
        <v>9</v>
      </c>
      <c r="AA125" s="950">
        <v>6</v>
      </c>
      <c r="AB125" s="950">
        <v>6</v>
      </c>
      <c r="AC125" s="950">
        <v>6</v>
      </c>
      <c r="AD125" s="950">
        <v>9</v>
      </c>
      <c r="AE125" s="950">
        <v>6</v>
      </c>
      <c r="AF125" s="955">
        <f t="shared" ref="AF125:AF131" si="198">(F125/4)/(W125/1000)+1</f>
        <v>131</v>
      </c>
      <c r="AG125" s="955">
        <f t="shared" ref="AG125:AG136" si="199">(F125/2)/(X125/1000)+1</f>
        <v>521</v>
      </c>
      <c r="AH125" s="955">
        <f>(F125/4)/(Y125/1000)+1</f>
        <v>261</v>
      </c>
      <c r="AI125" s="955">
        <v>0</v>
      </c>
      <c r="AJ125" s="955">
        <v>0</v>
      </c>
      <c r="AK125" s="948">
        <f t="shared" ref="AK125:AK136" si="200">(F125/4)+(20*N125/1000)+(10*N125/1000)+(8*N125/1000)+(6*2*N125/1000)</f>
        <v>26.950000000000003</v>
      </c>
      <c r="AL125" s="948">
        <f t="shared" ref="AL125:AL136" si="201">(F125/4)+(20*O125/1000)+(10*O125/1000)+(8*O125/1000)+(6*2*O125/1000)</f>
        <v>26.950000000000003</v>
      </c>
      <c r="AM125" s="948">
        <f t="shared" ref="AM125:AM136" si="202">(F125/2)+(20*P125/1000)+(6*2*P125/1000)</f>
        <v>52.608000000000004</v>
      </c>
      <c r="AN125" s="948">
        <f t="shared" ref="AN125:AN136" si="203">(F125/2)+(20*Q125/1000)+(6*2*Q125/1000)</f>
        <v>52.608000000000004</v>
      </c>
      <c r="AO125" s="948">
        <f t="shared" ref="AO125:AO136" si="204">(F125/4)+(20*R125/1000)+(10*R125/1000)+(8*R125/1000)+(6*2*R125/1000)</f>
        <v>26.950000000000003</v>
      </c>
      <c r="AP125" s="948">
        <f t="shared" ref="AP125:AP136" si="205">(F125/4)+(20*S125/1000)+(10*S125/1000)+(8*S125/1000)+(6*2*S125/1000)</f>
        <v>26.950000000000003</v>
      </c>
      <c r="AQ125" s="948">
        <f t="shared" ref="AQ125:AQ136" si="206">(2*G125)+(2*H125)+(6*T125/1000)-(8*0.03)</f>
        <v>1.8080000000000001</v>
      </c>
      <c r="AR125" s="948">
        <f t="shared" ref="AR125:AR136" si="207">((H125)+(2*6*U125/1000)-(2*0.03))*AI125</f>
        <v>0</v>
      </c>
      <c r="AS125" s="948">
        <f t="shared" ref="AS125:AS136" si="208">((G125)+(2*6*V125/1000)-(2*0.03))*AJ125</f>
        <v>0</v>
      </c>
      <c r="AT125" s="948">
        <f>AK125*Z125*E125*D125</f>
        <v>242.55</v>
      </c>
      <c r="AU125" s="948">
        <f t="shared" ref="AU125:AU136" si="209">AL125*AA125*E125*D125</f>
        <v>161.70000000000002</v>
      </c>
      <c r="AV125" s="948">
        <f t="shared" ref="AV125:AV136" si="210">AM125*AB125*E125*D125</f>
        <v>315.64800000000002</v>
      </c>
      <c r="AW125" s="948">
        <f t="shared" ref="AW125:AW136" si="211">AN125*AC125*E125*D125</f>
        <v>315.64800000000002</v>
      </c>
      <c r="AX125" s="948">
        <f t="shared" ref="AX125:AX136" si="212">AO125*AD125*E125*D125</f>
        <v>242.55</v>
      </c>
      <c r="AY125" s="948">
        <f t="shared" ref="AY125:AY136" si="213">AP125*AE125*E125*D125</f>
        <v>161.70000000000002</v>
      </c>
      <c r="AZ125" s="948">
        <f t="shared" ref="AZ125:AZ136" si="214">AQ125*(AF125+AG125+AH125)*E125*D125</f>
        <v>1650.704</v>
      </c>
      <c r="BA125" s="948">
        <f t="shared" ref="BA125:BA136" si="215">AR125*(AF125+AG125+AH125)*E125*D125</f>
        <v>0</v>
      </c>
      <c r="BB125" s="948">
        <f t="shared" ref="BB125:BB136" si="216">AS125*(AF125+AG125+AH125)*E125*D125</f>
        <v>0</v>
      </c>
      <c r="BC125" s="957">
        <f t="shared" ref="BC125:BJ136" si="217">N125*N125*0.074/12</f>
        <v>2.2261666666666664</v>
      </c>
      <c r="BD125" s="957">
        <f t="shared" si="217"/>
        <v>2.2261666666666664</v>
      </c>
      <c r="BE125" s="957">
        <f t="shared" si="217"/>
        <v>2.2261666666666664</v>
      </c>
      <c r="BF125" s="957">
        <f t="shared" si="217"/>
        <v>2.2261666666666664</v>
      </c>
      <c r="BG125" s="957">
        <f t="shared" si="217"/>
        <v>2.2261666666666664</v>
      </c>
      <c r="BH125" s="957">
        <f t="shared" si="217"/>
        <v>2.2261666666666664</v>
      </c>
      <c r="BI125" s="957">
        <f t="shared" si="217"/>
        <v>0.39466666666666667</v>
      </c>
      <c r="BJ125" s="957">
        <f>U125*U125*0.074/12</f>
        <v>0</v>
      </c>
      <c r="BK125" s="957">
        <f t="shared" ref="BK125:BK136" si="218">V125*V125*0.074/12</f>
        <v>0</v>
      </c>
      <c r="BL125" s="948">
        <f>AT125*BC125</f>
        <v>539.95672500000001</v>
      </c>
      <c r="BM125" s="948">
        <f t="shared" ref="BM125:BR136" si="219">AU125*BD125</f>
        <v>359.97115000000002</v>
      </c>
      <c r="BN125" s="948">
        <f t="shared" si="219"/>
        <v>702.68505599999992</v>
      </c>
      <c r="BO125" s="948">
        <f t="shared" si="219"/>
        <v>702.68505599999992</v>
      </c>
      <c r="BP125" s="948">
        <f t="shared" si="219"/>
        <v>539.95672500000001</v>
      </c>
      <c r="BQ125" s="948">
        <f t="shared" si="219"/>
        <v>359.97115000000002</v>
      </c>
      <c r="BR125" s="948">
        <f t="shared" si="219"/>
        <v>651.47784533333333</v>
      </c>
      <c r="BS125" s="948">
        <f t="shared" ref="BS125:BS133" si="220">BB125*BK125</f>
        <v>0</v>
      </c>
      <c r="BT125" s="955">
        <f t="shared" ref="BT125:BT136" si="221">SUM(BL125:BS125)/K125</f>
        <v>213.12465226201002</v>
      </c>
    </row>
    <row r="126" spans="1:72">
      <c r="A126" s="952">
        <v>2</v>
      </c>
      <c r="B126" s="952" t="s">
        <v>1147</v>
      </c>
      <c r="C126" s="950" t="s">
        <v>1089</v>
      </c>
      <c r="D126" s="950">
        <v>1</v>
      </c>
      <c r="E126" s="950">
        <v>1</v>
      </c>
      <c r="F126" s="948">
        <v>11.2</v>
      </c>
      <c r="G126" s="948">
        <v>0.3</v>
      </c>
      <c r="H126" s="948">
        <v>0.7</v>
      </c>
      <c r="I126" s="948">
        <v>0.12</v>
      </c>
      <c r="J126" s="948">
        <f t="shared" si="195"/>
        <v>0.57999999999999996</v>
      </c>
      <c r="K126" s="948">
        <f t="shared" si="196"/>
        <v>1.9487999999999999</v>
      </c>
      <c r="L126" s="948">
        <f t="shared" si="197"/>
        <v>12.991999999999999</v>
      </c>
      <c r="M126" s="952"/>
      <c r="N126" s="950">
        <v>19</v>
      </c>
      <c r="O126" s="950">
        <v>19</v>
      </c>
      <c r="P126" s="950">
        <v>19</v>
      </c>
      <c r="Q126" s="950">
        <v>19</v>
      </c>
      <c r="R126" s="950">
        <v>19</v>
      </c>
      <c r="S126" s="950">
        <v>19</v>
      </c>
      <c r="T126" s="950">
        <v>8</v>
      </c>
      <c r="U126" s="950"/>
      <c r="V126" s="950"/>
      <c r="W126" s="950">
        <v>200</v>
      </c>
      <c r="X126" s="950">
        <v>100</v>
      </c>
      <c r="Y126" s="950">
        <v>100</v>
      </c>
      <c r="Z126" s="950">
        <v>9</v>
      </c>
      <c r="AA126" s="950">
        <v>6</v>
      </c>
      <c r="AB126" s="950">
        <v>4</v>
      </c>
      <c r="AC126" s="950">
        <v>4</v>
      </c>
      <c r="AD126" s="950">
        <v>9</v>
      </c>
      <c r="AE126" s="950">
        <v>6</v>
      </c>
      <c r="AF126" s="955">
        <f t="shared" si="198"/>
        <v>14.999999999999998</v>
      </c>
      <c r="AG126" s="955">
        <f t="shared" si="199"/>
        <v>56.999999999999993</v>
      </c>
      <c r="AH126" s="955">
        <f t="shared" ref="AH126:AH136" si="222">(F126/4)/(Y126/1000)+1</f>
        <v>28.999999999999996</v>
      </c>
      <c r="AI126" s="955">
        <v>0</v>
      </c>
      <c r="AJ126" s="955">
        <v>0</v>
      </c>
      <c r="AK126" s="948">
        <f t="shared" si="200"/>
        <v>3.75</v>
      </c>
      <c r="AL126" s="948">
        <f t="shared" si="201"/>
        <v>3.75</v>
      </c>
      <c r="AM126" s="948">
        <f t="shared" si="202"/>
        <v>6.2079999999999993</v>
      </c>
      <c r="AN126" s="948">
        <f t="shared" si="203"/>
        <v>6.2079999999999993</v>
      </c>
      <c r="AO126" s="948">
        <f t="shared" si="204"/>
        <v>3.75</v>
      </c>
      <c r="AP126" s="948">
        <f t="shared" si="205"/>
        <v>3.75</v>
      </c>
      <c r="AQ126" s="948">
        <f t="shared" si="206"/>
        <v>1.8080000000000001</v>
      </c>
      <c r="AR126" s="948">
        <f t="shared" si="207"/>
        <v>0</v>
      </c>
      <c r="AS126" s="948">
        <f t="shared" si="208"/>
        <v>0</v>
      </c>
      <c r="AT126" s="948">
        <f t="shared" ref="AT126" si="223">AK126*Z126*E126*D126</f>
        <v>33.75</v>
      </c>
      <c r="AU126" s="948">
        <f t="shared" si="209"/>
        <v>22.5</v>
      </c>
      <c r="AV126" s="948">
        <f t="shared" si="210"/>
        <v>24.831999999999997</v>
      </c>
      <c r="AW126" s="948">
        <f t="shared" si="211"/>
        <v>24.831999999999997</v>
      </c>
      <c r="AX126" s="948">
        <f t="shared" si="212"/>
        <v>33.75</v>
      </c>
      <c r="AY126" s="948">
        <f t="shared" si="213"/>
        <v>22.5</v>
      </c>
      <c r="AZ126" s="948">
        <f t="shared" si="214"/>
        <v>182.60799999999998</v>
      </c>
      <c r="BA126" s="948">
        <f t="shared" si="215"/>
        <v>0</v>
      </c>
      <c r="BB126" s="948">
        <f t="shared" si="216"/>
        <v>0</v>
      </c>
      <c r="BC126" s="957">
        <f t="shared" si="217"/>
        <v>2.2261666666666664</v>
      </c>
      <c r="BD126" s="957">
        <f t="shared" si="217"/>
        <v>2.2261666666666664</v>
      </c>
      <c r="BE126" s="957">
        <f t="shared" si="217"/>
        <v>2.2261666666666664</v>
      </c>
      <c r="BF126" s="957">
        <f t="shared" si="217"/>
        <v>2.2261666666666664</v>
      </c>
      <c r="BG126" s="957">
        <f t="shared" si="217"/>
        <v>2.2261666666666664</v>
      </c>
      <c r="BH126" s="957">
        <f t="shared" si="217"/>
        <v>2.2261666666666664</v>
      </c>
      <c r="BI126" s="957">
        <f t="shared" si="217"/>
        <v>0.39466666666666667</v>
      </c>
      <c r="BJ126" s="957">
        <f t="shared" si="217"/>
        <v>0</v>
      </c>
      <c r="BK126" s="957">
        <f t="shared" si="218"/>
        <v>0</v>
      </c>
      <c r="BL126" s="948">
        <f t="shared" ref="BL126:BL136" si="224">AT126*BC126</f>
        <v>75.133124999999993</v>
      </c>
      <c r="BM126" s="948">
        <f t="shared" si="219"/>
        <v>50.088749999999997</v>
      </c>
      <c r="BN126" s="948">
        <f t="shared" si="219"/>
        <v>55.280170666666656</v>
      </c>
      <c r="BO126" s="948">
        <f t="shared" si="219"/>
        <v>55.280170666666656</v>
      </c>
      <c r="BP126" s="948">
        <f t="shared" si="219"/>
        <v>75.133124999999993</v>
      </c>
      <c r="BQ126" s="948">
        <f t="shared" si="219"/>
        <v>50.088749999999997</v>
      </c>
      <c r="BR126" s="948">
        <f t="shared" si="219"/>
        <v>72.06929066666666</v>
      </c>
      <c r="BS126" s="948">
        <f t="shared" si="220"/>
        <v>0</v>
      </c>
      <c r="BT126" s="955">
        <f t="shared" si="221"/>
        <v>222.22566810344824</v>
      </c>
    </row>
    <row r="127" spans="1:72">
      <c r="A127" s="952">
        <v>3</v>
      </c>
      <c r="B127" s="952" t="s">
        <v>1134</v>
      </c>
      <c r="C127" s="950" t="s">
        <v>1135</v>
      </c>
      <c r="D127" s="950">
        <v>1</v>
      </c>
      <c r="E127" s="950">
        <v>1</v>
      </c>
      <c r="F127" s="948">
        <v>8</v>
      </c>
      <c r="G127" s="948">
        <v>0.3</v>
      </c>
      <c r="H127" s="948">
        <v>0.7</v>
      </c>
      <c r="I127" s="948">
        <v>0.12</v>
      </c>
      <c r="J127" s="948">
        <f t="shared" si="195"/>
        <v>0.57999999999999996</v>
      </c>
      <c r="K127" s="948">
        <f t="shared" si="196"/>
        <v>1.3919999999999999</v>
      </c>
      <c r="L127" s="948">
        <f t="shared" si="197"/>
        <v>9.2799999999999994</v>
      </c>
      <c r="M127" s="952"/>
      <c r="N127" s="950">
        <v>19</v>
      </c>
      <c r="O127" s="950">
        <v>25</v>
      </c>
      <c r="P127" s="950">
        <v>19</v>
      </c>
      <c r="Q127" s="950">
        <v>25</v>
      </c>
      <c r="R127" s="950">
        <v>19</v>
      </c>
      <c r="S127" s="950">
        <v>25</v>
      </c>
      <c r="T127" s="950">
        <v>8</v>
      </c>
      <c r="U127" s="950"/>
      <c r="V127" s="950"/>
      <c r="W127" s="950">
        <v>200</v>
      </c>
      <c r="X127" s="950">
        <v>100</v>
      </c>
      <c r="Y127" s="950">
        <v>100</v>
      </c>
      <c r="Z127" s="950">
        <v>9</v>
      </c>
      <c r="AA127" s="950">
        <v>6</v>
      </c>
      <c r="AB127" s="950">
        <v>4</v>
      </c>
      <c r="AC127" s="950">
        <v>4</v>
      </c>
      <c r="AD127" s="950">
        <v>9</v>
      </c>
      <c r="AE127" s="950">
        <v>6</v>
      </c>
      <c r="AF127" s="955">
        <f t="shared" si="198"/>
        <v>11</v>
      </c>
      <c r="AG127" s="955">
        <f t="shared" si="199"/>
        <v>41</v>
      </c>
      <c r="AH127" s="955">
        <f t="shared" si="222"/>
        <v>21</v>
      </c>
      <c r="AI127" s="955">
        <v>0</v>
      </c>
      <c r="AJ127" s="955">
        <v>0</v>
      </c>
      <c r="AK127" s="948">
        <f t="shared" si="200"/>
        <v>2.95</v>
      </c>
      <c r="AL127" s="948">
        <f t="shared" si="201"/>
        <v>3.25</v>
      </c>
      <c r="AM127" s="948">
        <f t="shared" si="202"/>
        <v>4.6079999999999997</v>
      </c>
      <c r="AN127" s="948">
        <f t="shared" si="203"/>
        <v>4.8</v>
      </c>
      <c r="AO127" s="948">
        <f t="shared" si="204"/>
        <v>2.95</v>
      </c>
      <c r="AP127" s="948">
        <f t="shared" si="205"/>
        <v>3.25</v>
      </c>
      <c r="AQ127" s="948">
        <f t="shared" si="206"/>
        <v>1.8080000000000001</v>
      </c>
      <c r="AR127" s="948">
        <f t="shared" si="207"/>
        <v>0</v>
      </c>
      <c r="AS127" s="948">
        <f t="shared" si="208"/>
        <v>0</v>
      </c>
      <c r="AT127" s="948">
        <f>AK127*Z127*E127*D127</f>
        <v>26.55</v>
      </c>
      <c r="AU127" s="948">
        <f t="shared" si="209"/>
        <v>19.5</v>
      </c>
      <c r="AV127" s="948">
        <f t="shared" si="210"/>
        <v>18.431999999999999</v>
      </c>
      <c r="AW127" s="948">
        <f t="shared" si="211"/>
        <v>19.2</v>
      </c>
      <c r="AX127" s="948">
        <f t="shared" si="212"/>
        <v>26.55</v>
      </c>
      <c r="AY127" s="948">
        <f t="shared" si="213"/>
        <v>19.5</v>
      </c>
      <c r="AZ127" s="948">
        <f t="shared" si="214"/>
        <v>131.98400000000001</v>
      </c>
      <c r="BA127" s="948">
        <f t="shared" si="215"/>
        <v>0</v>
      </c>
      <c r="BB127" s="948">
        <f t="shared" si="216"/>
        <v>0</v>
      </c>
      <c r="BC127" s="957">
        <f t="shared" si="217"/>
        <v>2.2261666666666664</v>
      </c>
      <c r="BD127" s="957">
        <f t="shared" si="217"/>
        <v>3.8541666666666665</v>
      </c>
      <c r="BE127" s="957">
        <f t="shared" si="217"/>
        <v>2.2261666666666664</v>
      </c>
      <c r="BF127" s="957">
        <f t="shared" si="217"/>
        <v>3.8541666666666665</v>
      </c>
      <c r="BG127" s="957">
        <f t="shared" si="217"/>
        <v>2.2261666666666664</v>
      </c>
      <c r="BH127" s="957">
        <f t="shared" si="217"/>
        <v>3.8541666666666665</v>
      </c>
      <c r="BI127" s="957">
        <f t="shared" si="217"/>
        <v>0.39466666666666667</v>
      </c>
      <c r="BJ127" s="957">
        <f t="shared" si="217"/>
        <v>0</v>
      </c>
      <c r="BK127" s="957">
        <f t="shared" si="218"/>
        <v>0</v>
      </c>
      <c r="BL127" s="948">
        <f t="shared" si="224"/>
        <v>59.104724999999995</v>
      </c>
      <c r="BM127" s="948">
        <f t="shared" si="219"/>
        <v>75.15625</v>
      </c>
      <c r="BN127" s="948">
        <f t="shared" si="219"/>
        <v>41.032703999999995</v>
      </c>
      <c r="BO127" s="948">
        <f t="shared" si="219"/>
        <v>74</v>
      </c>
      <c r="BP127" s="948">
        <f t="shared" si="219"/>
        <v>59.104724999999995</v>
      </c>
      <c r="BQ127" s="948">
        <f t="shared" si="219"/>
        <v>75.15625</v>
      </c>
      <c r="BR127" s="948">
        <f t="shared" si="219"/>
        <v>52.089685333333335</v>
      </c>
      <c r="BS127" s="948">
        <f t="shared" si="220"/>
        <v>0</v>
      </c>
      <c r="BT127" s="955">
        <f t="shared" si="221"/>
        <v>312.96288745210728</v>
      </c>
    </row>
    <row r="128" spans="1:72">
      <c r="A128" s="952">
        <v>4</v>
      </c>
      <c r="B128" s="952" t="s">
        <v>1136</v>
      </c>
      <c r="C128" s="950" t="s">
        <v>1110</v>
      </c>
      <c r="D128" s="950">
        <v>1</v>
      </c>
      <c r="E128" s="950">
        <v>1</v>
      </c>
      <c r="F128" s="948">
        <v>39.200000000000003</v>
      </c>
      <c r="G128" s="948">
        <v>0.3</v>
      </c>
      <c r="H128" s="948">
        <v>0.7</v>
      </c>
      <c r="I128" s="948">
        <v>0.12</v>
      </c>
      <c r="J128" s="948">
        <f t="shared" si="195"/>
        <v>0.57999999999999996</v>
      </c>
      <c r="K128" s="948">
        <f t="shared" si="196"/>
        <v>6.8207999999999993</v>
      </c>
      <c r="L128" s="948">
        <f t="shared" si="197"/>
        <v>45.472000000000001</v>
      </c>
      <c r="M128" s="952"/>
      <c r="N128" s="950">
        <v>16</v>
      </c>
      <c r="O128" s="950">
        <v>16</v>
      </c>
      <c r="P128" s="950">
        <v>16</v>
      </c>
      <c r="Q128" s="950">
        <v>16</v>
      </c>
      <c r="R128" s="950">
        <v>16</v>
      </c>
      <c r="S128" s="950">
        <v>16</v>
      </c>
      <c r="T128" s="950">
        <v>8</v>
      </c>
      <c r="U128" s="950"/>
      <c r="V128" s="950"/>
      <c r="W128" s="950">
        <v>200</v>
      </c>
      <c r="X128" s="950">
        <v>100</v>
      </c>
      <c r="Y128" s="950">
        <v>100</v>
      </c>
      <c r="Z128" s="950">
        <v>9</v>
      </c>
      <c r="AA128" s="950">
        <v>6</v>
      </c>
      <c r="AB128" s="950">
        <v>4</v>
      </c>
      <c r="AC128" s="950">
        <v>4</v>
      </c>
      <c r="AD128" s="950">
        <v>9</v>
      </c>
      <c r="AE128" s="950">
        <v>6</v>
      </c>
      <c r="AF128" s="955">
        <f t="shared" si="198"/>
        <v>50</v>
      </c>
      <c r="AG128" s="955">
        <f t="shared" si="199"/>
        <v>197</v>
      </c>
      <c r="AH128" s="955">
        <f t="shared" si="222"/>
        <v>99</v>
      </c>
      <c r="AI128" s="955">
        <v>0</v>
      </c>
      <c r="AJ128" s="955">
        <v>0</v>
      </c>
      <c r="AK128" s="948">
        <f t="shared" si="200"/>
        <v>10.600000000000001</v>
      </c>
      <c r="AL128" s="948">
        <f t="shared" si="201"/>
        <v>10.600000000000001</v>
      </c>
      <c r="AM128" s="948">
        <f t="shared" si="202"/>
        <v>20.112000000000002</v>
      </c>
      <c r="AN128" s="948">
        <f t="shared" si="203"/>
        <v>20.112000000000002</v>
      </c>
      <c r="AO128" s="948">
        <f t="shared" si="204"/>
        <v>10.600000000000001</v>
      </c>
      <c r="AP128" s="948">
        <f t="shared" si="205"/>
        <v>10.600000000000001</v>
      </c>
      <c r="AQ128" s="948">
        <f t="shared" si="206"/>
        <v>1.8080000000000001</v>
      </c>
      <c r="AR128" s="948">
        <f t="shared" si="207"/>
        <v>0</v>
      </c>
      <c r="AS128" s="948">
        <f t="shared" si="208"/>
        <v>0</v>
      </c>
      <c r="AT128" s="948">
        <f t="shared" ref="AT128:AT136" si="225">AK128*Z128*E128*D128</f>
        <v>95.4</v>
      </c>
      <c r="AU128" s="948">
        <f t="shared" si="209"/>
        <v>63.600000000000009</v>
      </c>
      <c r="AV128" s="948">
        <f t="shared" si="210"/>
        <v>80.448000000000008</v>
      </c>
      <c r="AW128" s="948">
        <f t="shared" si="211"/>
        <v>80.448000000000008</v>
      </c>
      <c r="AX128" s="948">
        <f t="shared" si="212"/>
        <v>95.4</v>
      </c>
      <c r="AY128" s="948">
        <f t="shared" si="213"/>
        <v>63.600000000000009</v>
      </c>
      <c r="AZ128" s="948">
        <f t="shared" si="214"/>
        <v>625.56799999999998</v>
      </c>
      <c r="BA128" s="948">
        <f t="shared" si="215"/>
        <v>0</v>
      </c>
      <c r="BB128" s="948">
        <f t="shared" si="216"/>
        <v>0</v>
      </c>
      <c r="BC128" s="957">
        <f t="shared" si="217"/>
        <v>1.5786666666666667</v>
      </c>
      <c r="BD128" s="957">
        <f t="shared" si="217"/>
        <v>1.5786666666666667</v>
      </c>
      <c r="BE128" s="957">
        <f t="shared" si="217"/>
        <v>1.5786666666666667</v>
      </c>
      <c r="BF128" s="957">
        <f t="shared" si="217"/>
        <v>1.5786666666666667</v>
      </c>
      <c r="BG128" s="957">
        <f t="shared" si="217"/>
        <v>1.5786666666666667</v>
      </c>
      <c r="BH128" s="957">
        <f t="shared" si="217"/>
        <v>1.5786666666666667</v>
      </c>
      <c r="BI128" s="957">
        <f t="shared" si="217"/>
        <v>0.39466666666666667</v>
      </c>
      <c r="BJ128" s="957">
        <f t="shared" si="217"/>
        <v>0</v>
      </c>
      <c r="BK128" s="957">
        <f t="shared" si="218"/>
        <v>0</v>
      </c>
      <c r="BL128" s="948">
        <f t="shared" si="224"/>
        <v>150.60480000000001</v>
      </c>
      <c r="BM128" s="948">
        <f t="shared" si="219"/>
        <v>100.40320000000001</v>
      </c>
      <c r="BN128" s="948">
        <f t="shared" si="219"/>
        <v>127.00057600000001</v>
      </c>
      <c r="BO128" s="948">
        <f t="shared" si="219"/>
        <v>127.00057600000001</v>
      </c>
      <c r="BP128" s="948">
        <f t="shared" si="219"/>
        <v>150.60480000000001</v>
      </c>
      <c r="BQ128" s="948">
        <f t="shared" si="219"/>
        <v>100.40320000000001</v>
      </c>
      <c r="BR128" s="948">
        <f t="shared" si="219"/>
        <v>246.89083733333334</v>
      </c>
      <c r="BS128" s="948">
        <f t="shared" si="220"/>
        <v>0</v>
      </c>
      <c r="BT128" s="955">
        <f t="shared" si="221"/>
        <v>147.03670967237474</v>
      </c>
    </row>
    <row r="129" spans="1:72">
      <c r="A129" s="952">
        <v>5</v>
      </c>
      <c r="B129" s="952" t="s">
        <v>1092</v>
      </c>
      <c r="C129" s="950" t="s">
        <v>1093</v>
      </c>
      <c r="D129" s="950">
        <v>1</v>
      </c>
      <c r="E129" s="950">
        <v>1</v>
      </c>
      <c r="F129" s="948">
        <v>80</v>
      </c>
      <c r="G129" s="948">
        <v>0.25</v>
      </c>
      <c r="H129" s="948">
        <v>0.6</v>
      </c>
      <c r="I129" s="948">
        <v>0.12</v>
      </c>
      <c r="J129" s="948">
        <f t="shared" si="195"/>
        <v>0.48</v>
      </c>
      <c r="K129" s="948">
        <f t="shared" si="196"/>
        <v>9.6</v>
      </c>
      <c r="L129" s="948">
        <f t="shared" si="197"/>
        <v>76.8</v>
      </c>
      <c r="M129" s="952"/>
      <c r="N129" s="950">
        <v>16</v>
      </c>
      <c r="O129" s="950">
        <v>16</v>
      </c>
      <c r="P129" s="950">
        <v>16</v>
      </c>
      <c r="Q129" s="950">
        <v>16</v>
      </c>
      <c r="R129" s="950">
        <v>16</v>
      </c>
      <c r="S129" s="950">
        <v>16</v>
      </c>
      <c r="T129" s="950">
        <v>8</v>
      </c>
      <c r="U129" s="950"/>
      <c r="V129" s="950"/>
      <c r="W129" s="950">
        <v>200</v>
      </c>
      <c r="X129" s="950">
        <v>100</v>
      </c>
      <c r="Y129" s="950">
        <v>100</v>
      </c>
      <c r="Z129" s="950">
        <v>9</v>
      </c>
      <c r="AA129" s="950">
        <v>6</v>
      </c>
      <c r="AB129" s="950">
        <v>4</v>
      </c>
      <c r="AC129" s="950">
        <v>4</v>
      </c>
      <c r="AD129" s="950">
        <v>9</v>
      </c>
      <c r="AE129" s="950">
        <v>6</v>
      </c>
      <c r="AF129" s="955">
        <f t="shared" si="198"/>
        <v>101</v>
      </c>
      <c r="AG129" s="955">
        <f t="shared" si="199"/>
        <v>401</v>
      </c>
      <c r="AH129" s="955">
        <f t="shared" si="222"/>
        <v>201</v>
      </c>
      <c r="AI129" s="955">
        <v>0</v>
      </c>
      <c r="AJ129" s="955">
        <v>0</v>
      </c>
      <c r="AK129" s="948">
        <f t="shared" si="200"/>
        <v>20.8</v>
      </c>
      <c r="AL129" s="948">
        <f t="shared" si="201"/>
        <v>20.8</v>
      </c>
      <c r="AM129" s="948">
        <f t="shared" si="202"/>
        <v>40.512</v>
      </c>
      <c r="AN129" s="948">
        <f t="shared" si="203"/>
        <v>40.512</v>
      </c>
      <c r="AO129" s="948">
        <f t="shared" si="204"/>
        <v>20.8</v>
      </c>
      <c r="AP129" s="948">
        <f t="shared" si="205"/>
        <v>20.8</v>
      </c>
      <c r="AQ129" s="948">
        <f t="shared" si="206"/>
        <v>1.508</v>
      </c>
      <c r="AR129" s="948">
        <f t="shared" si="207"/>
        <v>0</v>
      </c>
      <c r="AS129" s="948">
        <f t="shared" si="208"/>
        <v>0</v>
      </c>
      <c r="AT129" s="948">
        <f t="shared" si="225"/>
        <v>187.20000000000002</v>
      </c>
      <c r="AU129" s="948">
        <f t="shared" si="209"/>
        <v>124.80000000000001</v>
      </c>
      <c r="AV129" s="948">
        <f t="shared" si="210"/>
        <v>162.048</v>
      </c>
      <c r="AW129" s="948">
        <f t="shared" si="211"/>
        <v>162.048</v>
      </c>
      <c r="AX129" s="948">
        <f t="shared" si="212"/>
        <v>187.20000000000002</v>
      </c>
      <c r="AY129" s="948">
        <f t="shared" si="213"/>
        <v>124.80000000000001</v>
      </c>
      <c r="AZ129" s="948">
        <f t="shared" si="214"/>
        <v>1060.124</v>
      </c>
      <c r="BA129" s="948">
        <f t="shared" si="215"/>
        <v>0</v>
      </c>
      <c r="BB129" s="948">
        <f t="shared" si="216"/>
        <v>0</v>
      </c>
      <c r="BC129" s="957">
        <f t="shared" si="217"/>
        <v>1.5786666666666667</v>
      </c>
      <c r="BD129" s="957">
        <f t="shared" si="217"/>
        <v>1.5786666666666667</v>
      </c>
      <c r="BE129" s="957">
        <f t="shared" si="217"/>
        <v>1.5786666666666667</v>
      </c>
      <c r="BF129" s="957">
        <f t="shared" si="217"/>
        <v>1.5786666666666667</v>
      </c>
      <c r="BG129" s="957">
        <f t="shared" si="217"/>
        <v>1.5786666666666667</v>
      </c>
      <c r="BH129" s="957">
        <f t="shared" si="217"/>
        <v>1.5786666666666667</v>
      </c>
      <c r="BI129" s="957">
        <f t="shared" si="217"/>
        <v>0.39466666666666667</v>
      </c>
      <c r="BJ129" s="957">
        <f t="shared" si="217"/>
        <v>0</v>
      </c>
      <c r="BK129" s="957">
        <f t="shared" si="218"/>
        <v>0</v>
      </c>
      <c r="BL129" s="948">
        <f t="shared" si="224"/>
        <v>295.52640000000002</v>
      </c>
      <c r="BM129" s="948">
        <f t="shared" si="219"/>
        <v>197.01760000000002</v>
      </c>
      <c r="BN129" s="948">
        <f t="shared" si="219"/>
        <v>255.81977599999999</v>
      </c>
      <c r="BO129" s="948">
        <f t="shared" si="219"/>
        <v>255.81977599999999</v>
      </c>
      <c r="BP129" s="948">
        <f t="shared" si="219"/>
        <v>295.52640000000002</v>
      </c>
      <c r="BQ129" s="948">
        <f t="shared" si="219"/>
        <v>197.01760000000002</v>
      </c>
      <c r="BR129" s="948">
        <f t="shared" si="219"/>
        <v>418.39560533333332</v>
      </c>
      <c r="BS129" s="948">
        <f t="shared" si="220"/>
        <v>0</v>
      </c>
      <c r="BT129" s="955">
        <f t="shared" si="221"/>
        <v>199.49199555555555</v>
      </c>
    </row>
    <row r="130" spans="1:72">
      <c r="A130" s="952">
        <v>6</v>
      </c>
      <c r="B130" s="952" t="s">
        <v>1094</v>
      </c>
      <c r="C130" s="950" t="s">
        <v>1095</v>
      </c>
      <c r="D130" s="950">
        <v>1</v>
      </c>
      <c r="E130" s="950">
        <v>1</v>
      </c>
      <c r="F130" s="948">
        <v>80</v>
      </c>
      <c r="G130" s="948">
        <v>0.3</v>
      </c>
      <c r="H130" s="948">
        <v>0.7</v>
      </c>
      <c r="I130" s="948">
        <v>0.12</v>
      </c>
      <c r="J130" s="948">
        <f t="shared" si="195"/>
        <v>0.57999999999999996</v>
      </c>
      <c r="K130" s="948">
        <f t="shared" si="196"/>
        <v>13.919999999999998</v>
      </c>
      <c r="L130" s="948">
        <f t="shared" si="197"/>
        <v>92.8</v>
      </c>
      <c r="M130" s="952"/>
      <c r="N130" s="950">
        <v>19</v>
      </c>
      <c r="O130" s="950">
        <v>19</v>
      </c>
      <c r="P130" s="950">
        <v>19</v>
      </c>
      <c r="Q130" s="950">
        <v>19</v>
      </c>
      <c r="R130" s="950">
        <v>19</v>
      </c>
      <c r="S130" s="950">
        <v>19</v>
      </c>
      <c r="T130" s="950">
        <v>8</v>
      </c>
      <c r="U130" s="950"/>
      <c r="V130" s="950"/>
      <c r="W130" s="950">
        <v>200</v>
      </c>
      <c r="X130" s="950">
        <v>100</v>
      </c>
      <c r="Y130" s="950">
        <v>100</v>
      </c>
      <c r="Z130" s="950">
        <v>9</v>
      </c>
      <c r="AA130" s="950">
        <v>6</v>
      </c>
      <c r="AB130" s="950">
        <v>4</v>
      </c>
      <c r="AC130" s="950">
        <v>4</v>
      </c>
      <c r="AD130" s="950">
        <v>9</v>
      </c>
      <c r="AE130" s="950">
        <v>6</v>
      </c>
      <c r="AF130" s="955">
        <f t="shared" si="198"/>
        <v>101</v>
      </c>
      <c r="AG130" s="955">
        <f t="shared" si="199"/>
        <v>401</v>
      </c>
      <c r="AH130" s="955">
        <f t="shared" si="222"/>
        <v>201</v>
      </c>
      <c r="AI130" s="955">
        <v>0</v>
      </c>
      <c r="AJ130" s="955">
        <v>0</v>
      </c>
      <c r="AK130" s="948">
        <f t="shared" si="200"/>
        <v>20.950000000000003</v>
      </c>
      <c r="AL130" s="948">
        <f t="shared" si="201"/>
        <v>20.950000000000003</v>
      </c>
      <c r="AM130" s="948">
        <f t="shared" si="202"/>
        <v>40.608000000000004</v>
      </c>
      <c r="AN130" s="948">
        <f t="shared" si="203"/>
        <v>40.608000000000004</v>
      </c>
      <c r="AO130" s="948">
        <f t="shared" si="204"/>
        <v>20.950000000000003</v>
      </c>
      <c r="AP130" s="948">
        <f t="shared" si="205"/>
        <v>20.950000000000003</v>
      </c>
      <c r="AQ130" s="948">
        <f t="shared" si="206"/>
        <v>1.8080000000000001</v>
      </c>
      <c r="AR130" s="948">
        <f t="shared" si="207"/>
        <v>0</v>
      </c>
      <c r="AS130" s="948">
        <f t="shared" si="208"/>
        <v>0</v>
      </c>
      <c r="AT130" s="948">
        <f t="shared" si="225"/>
        <v>188.55</v>
      </c>
      <c r="AU130" s="948">
        <f t="shared" si="209"/>
        <v>125.70000000000002</v>
      </c>
      <c r="AV130" s="948">
        <f t="shared" si="210"/>
        <v>162.43200000000002</v>
      </c>
      <c r="AW130" s="948">
        <f t="shared" si="211"/>
        <v>162.43200000000002</v>
      </c>
      <c r="AX130" s="948">
        <f t="shared" si="212"/>
        <v>188.55</v>
      </c>
      <c r="AY130" s="948">
        <f t="shared" si="213"/>
        <v>125.70000000000002</v>
      </c>
      <c r="AZ130" s="948">
        <f t="shared" si="214"/>
        <v>1271.0240000000001</v>
      </c>
      <c r="BA130" s="948">
        <f t="shared" si="215"/>
        <v>0</v>
      </c>
      <c r="BB130" s="948">
        <f t="shared" si="216"/>
        <v>0</v>
      </c>
      <c r="BC130" s="957">
        <f t="shared" si="217"/>
        <v>2.2261666666666664</v>
      </c>
      <c r="BD130" s="957">
        <f t="shared" si="217"/>
        <v>2.2261666666666664</v>
      </c>
      <c r="BE130" s="957">
        <f t="shared" si="217"/>
        <v>2.2261666666666664</v>
      </c>
      <c r="BF130" s="957">
        <f t="shared" si="217"/>
        <v>2.2261666666666664</v>
      </c>
      <c r="BG130" s="957">
        <f t="shared" si="217"/>
        <v>2.2261666666666664</v>
      </c>
      <c r="BH130" s="957">
        <f t="shared" si="217"/>
        <v>2.2261666666666664</v>
      </c>
      <c r="BI130" s="957">
        <f t="shared" si="217"/>
        <v>0.39466666666666667</v>
      </c>
      <c r="BJ130" s="957">
        <f t="shared" si="217"/>
        <v>0</v>
      </c>
      <c r="BK130" s="957">
        <f t="shared" si="218"/>
        <v>0</v>
      </c>
      <c r="BL130" s="948">
        <f t="shared" si="224"/>
        <v>419.74372499999998</v>
      </c>
      <c r="BM130" s="948">
        <f t="shared" si="219"/>
        <v>279.82915000000003</v>
      </c>
      <c r="BN130" s="948">
        <f t="shared" si="219"/>
        <v>361.60070400000001</v>
      </c>
      <c r="BO130" s="948">
        <f t="shared" si="219"/>
        <v>361.60070400000001</v>
      </c>
      <c r="BP130" s="948">
        <f t="shared" si="219"/>
        <v>419.74372499999998</v>
      </c>
      <c r="BQ130" s="948">
        <f t="shared" si="219"/>
        <v>279.82915000000003</v>
      </c>
      <c r="BR130" s="948">
        <f t="shared" si="219"/>
        <v>501.6308053333334</v>
      </c>
      <c r="BS130" s="948">
        <f t="shared" si="220"/>
        <v>0</v>
      </c>
      <c r="BT130" s="955">
        <f t="shared" si="221"/>
        <v>188.50416403256708</v>
      </c>
    </row>
    <row r="131" spans="1:72">
      <c r="A131" s="952">
        <v>7</v>
      </c>
      <c r="B131" s="952" t="s">
        <v>1096</v>
      </c>
      <c r="C131" s="950" t="s">
        <v>1097</v>
      </c>
      <c r="D131" s="950">
        <v>1</v>
      </c>
      <c r="E131" s="950">
        <v>1</v>
      </c>
      <c r="F131" s="948">
        <v>64</v>
      </c>
      <c r="G131" s="948">
        <f>G130</f>
        <v>0.3</v>
      </c>
      <c r="H131" s="948">
        <f>H130</f>
        <v>0.7</v>
      </c>
      <c r="I131" s="948">
        <v>0.12</v>
      </c>
      <c r="J131" s="948">
        <f t="shared" si="195"/>
        <v>0.57999999999999996</v>
      </c>
      <c r="K131" s="948">
        <f t="shared" si="196"/>
        <v>11.135999999999999</v>
      </c>
      <c r="L131" s="948">
        <f>(2*J131)*F131*E131*D108</f>
        <v>74.239999999999995</v>
      </c>
      <c r="M131" s="952"/>
      <c r="N131" s="950">
        <v>19</v>
      </c>
      <c r="O131" s="950">
        <v>19</v>
      </c>
      <c r="P131" s="950">
        <v>19</v>
      </c>
      <c r="Q131" s="950">
        <v>19</v>
      </c>
      <c r="R131" s="950">
        <v>19</v>
      </c>
      <c r="S131" s="950">
        <v>19</v>
      </c>
      <c r="T131" s="950">
        <v>8</v>
      </c>
      <c r="U131" s="950"/>
      <c r="V131" s="950"/>
      <c r="W131" s="950">
        <v>200</v>
      </c>
      <c r="X131" s="950">
        <v>100</v>
      </c>
      <c r="Y131" s="950">
        <v>100</v>
      </c>
      <c r="Z131" s="950">
        <v>9</v>
      </c>
      <c r="AA131" s="950">
        <v>6</v>
      </c>
      <c r="AB131" s="950">
        <v>4</v>
      </c>
      <c r="AC131" s="950">
        <v>4</v>
      </c>
      <c r="AD131" s="950">
        <v>9</v>
      </c>
      <c r="AE131" s="950">
        <v>6</v>
      </c>
      <c r="AF131" s="955">
        <f t="shared" si="198"/>
        <v>81</v>
      </c>
      <c r="AG131" s="955">
        <f t="shared" si="199"/>
        <v>321</v>
      </c>
      <c r="AH131" s="955">
        <f t="shared" si="222"/>
        <v>161</v>
      </c>
      <c r="AI131" s="955">
        <v>0</v>
      </c>
      <c r="AJ131" s="955">
        <v>0</v>
      </c>
      <c r="AK131" s="948">
        <f t="shared" si="200"/>
        <v>16.950000000000003</v>
      </c>
      <c r="AL131" s="948">
        <f t="shared" si="201"/>
        <v>16.950000000000003</v>
      </c>
      <c r="AM131" s="948">
        <f t="shared" si="202"/>
        <v>32.608000000000004</v>
      </c>
      <c r="AN131" s="948">
        <f t="shared" si="203"/>
        <v>32.608000000000004</v>
      </c>
      <c r="AO131" s="948">
        <f t="shared" si="204"/>
        <v>16.950000000000003</v>
      </c>
      <c r="AP131" s="948">
        <f t="shared" si="205"/>
        <v>16.950000000000003</v>
      </c>
      <c r="AQ131" s="948">
        <f t="shared" si="206"/>
        <v>1.8080000000000001</v>
      </c>
      <c r="AR131" s="948">
        <f t="shared" si="207"/>
        <v>0</v>
      </c>
      <c r="AS131" s="948">
        <f t="shared" si="208"/>
        <v>0</v>
      </c>
      <c r="AT131" s="948">
        <f t="shared" si="225"/>
        <v>152.55000000000001</v>
      </c>
      <c r="AU131" s="948">
        <f t="shared" si="209"/>
        <v>101.70000000000002</v>
      </c>
      <c r="AV131" s="948">
        <f t="shared" si="210"/>
        <v>130.43200000000002</v>
      </c>
      <c r="AW131" s="948">
        <f t="shared" si="211"/>
        <v>130.43200000000002</v>
      </c>
      <c r="AX131" s="948">
        <f t="shared" si="212"/>
        <v>152.55000000000001</v>
      </c>
      <c r="AY131" s="948">
        <f t="shared" si="213"/>
        <v>101.70000000000002</v>
      </c>
      <c r="AZ131" s="948">
        <f t="shared" si="214"/>
        <v>1017.904</v>
      </c>
      <c r="BA131" s="948">
        <f t="shared" si="215"/>
        <v>0</v>
      </c>
      <c r="BB131" s="948">
        <f t="shared" si="216"/>
        <v>0</v>
      </c>
      <c r="BC131" s="957">
        <f t="shared" si="217"/>
        <v>2.2261666666666664</v>
      </c>
      <c r="BD131" s="957">
        <f t="shared" si="217"/>
        <v>2.2261666666666664</v>
      </c>
      <c r="BE131" s="957">
        <f t="shared" si="217"/>
        <v>2.2261666666666664</v>
      </c>
      <c r="BF131" s="957">
        <f t="shared" si="217"/>
        <v>2.2261666666666664</v>
      </c>
      <c r="BG131" s="957">
        <f t="shared" si="217"/>
        <v>2.2261666666666664</v>
      </c>
      <c r="BH131" s="957">
        <f t="shared" si="217"/>
        <v>2.2261666666666664</v>
      </c>
      <c r="BI131" s="957">
        <f t="shared" si="217"/>
        <v>0.39466666666666667</v>
      </c>
      <c r="BJ131" s="957">
        <f t="shared" si="217"/>
        <v>0</v>
      </c>
      <c r="BK131" s="957">
        <f t="shared" si="218"/>
        <v>0</v>
      </c>
      <c r="BL131" s="948">
        <f t="shared" si="224"/>
        <v>339.60172499999999</v>
      </c>
      <c r="BM131" s="948">
        <f t="shared" si="219"/>
        <v>226.40115</v>
      </c>
      <c r="BN131" s="948">
        <f t="shared" si="219"/>
        <v>290.3633706666667</v>
      </c>
      <c r="BO131" s="948">
        <f t="shared" si="219"/>
        <v>290.3633706666667</v>
      </c>
      <c r="BP131" s="948">
        <f t="shared" si="219"/>
        <v>339.60172499999999</v>
      </c>
      <c r="BQ131" s="948">
        <f>AY131*BH131</f>
        <v>226.40115</v>
      </c>
      <c r="BR131" s="948">
        <f t="shared" si="219"/>
        <v>401.73277866666666</v>
      </c>
      <c r="BS131" s="948">
        <f t="shared" si="220"/>
        <v>0</v>
      </c>
      <c r="BT131" s="955">
        <f t="shared" si="221"/>
        <v>189.87655082614944</v>
      </c>
    </row>
    <row r="132" spans="1:72">
      <c r="A132" s="952">
        <v>8</v>
      </c>
      <c r="B132" s="952" t="s">
        <v>1098</v>
      </c>
      <c r="C132" s="950" t="s">
        <v>1099</v>
      </c>
      <c r="D132" s="950">
        <v>1</v>
      </c>
      <c r="E132" s="950">
        <v>1</v>
      </c>
      <c r="F132" s="948">
        <v>56</v>
      </c>
      <c r="G132" s="948">
        <v>0.25</v>
      </c>
      <c r="H132" s="948">
        <v>0.6</v>
      </c>
      <c r="I132" s="948">
        <v>0.12</v>
      </c>
      <c r="J132" s="948">
        <f t="shared" si="195"/>
        <v>0.48</v>
      </c>
      <c r="K132" s="948">
        <f t="shared" si="196"/>
        <v>6.72</v>
      </c>
      <c r="L132" s="948">
        <f>(2*J132)*F132*E132*D132</f>
        <v>53.76</v>
      </c>
      <c r="M132" s="952"/>
      <c r="N132" s="950">
        <v>16</v>
      </c>
      <c r="O132" s="950">
        <v>16</v>
      </c>
      <c r="P132" s="950">
        <v>16</v>
      </c>
      <c r="Q132" s="950">
        <v>16</v>
      </c>
      <c r="R132" s="950">
        <v>16</v>
      </c>
      <c r="S132" s="950">
        <v>16</v>
      </c>
      <c r="T132" s="950">
        <v>8</v>
      </c>
      <c r="U132" s="950"/>
      <c r="V132" s="950"/>
      <c r="W132" s="950">
        <v>200</v>
      </c>
      <c r="X132" s="950">
        <v>100</v>
      </c>
      <c r="Y132" s="950">
        <v>100</v>
      </c>
      <c r="Z132" s="950">
        <v>9</v>
      </c>
      <c r="AA132" s="950">
        <v>6</v>
      </c>
      <c r="AB132" s="950">
        <v>4</v>
      </c>
      <c r="AC132" s="950">
        <v>4</v>
      </c>
      <c r="AD132" s="950">
        <v>9</v>
      </c>
      <c r="AE132" s="950">
        <v>6</v>
      </c>
      <c r="AF132" s="955">
        <f>(F132/4)/(W132/1000)+1</f>
        <v>71</v>
      </c>
      <c r="AG132" s="955">
        <f t="shared" si="199"/>
        <v>281</v>
      </c>
      <c r="AH132" s="955">
        <f t="shared" si="222"/>
        <v>141</v>
      </c>
      <c r="AI132" s="955">
        <v>0</v>
      </c>
      <c r="AJ132" s="955">
        <v>0</v>
      </c>
      <c r="AK132" s="948">
        <f t="shared" si="200"/>
        <v>14.8</v>
      </c>
      <c r="AL132" s="948">
        <f t="shared" si="201"/>
        <v>14.8</v>
      </c>
      <c r="AM132" s="948">
        <f t="shared" si="202"/>
        <v>28.512</v>
      </c>
      <c r="AN132" s="948">
        <f t="shared" si="203"/>
        <v>28.512</v>
      </c>
      <c r="AO132" s="948">
        <f t="shared" si="204"/>
        <v>14.8</v>
      </c>
      <c r="AP132" s="948">
        <f t="shared" si="205"/>
        <v>14.8</v>
      </c>
      <c r="AQ132" s="948">
        <f t="shared" si="206"/>
        <v>1.508</v>
      </c>
      <c r="AR132" s="948">
        <f t="shared" si="207"/>
        <v>0</v>
      </c>
      <c r="AS132" s="948">
        <f t="shared" si="208"/>
        <v>0</v>
      </c>
      <c r="AT132" s="948">
        <f t="shared" si="225"/>
        <v>133.20000000000002</v>
      </c>
      <c r="AU132" s="948">
        <f t="shared" si="209"/>
        <v>88.800000000000011</v>
      </c>
      <c r="AV132" s="948">
        <f t="shared" si="210"/>
        <v>114.048</v>
      </c>
      <c r="AW132" s="948">
        <f t="shared" si="211"/>
        <v>114.048</v>
      </c>
      <c r="AX132" s="948">
        <f t="shared" si="212"/>
        <v>133.20000000000002</v>
      </c>
      <c r="AY132" s="948">
        <f t="shared" si="213"/>
        <v>88.800000000000011</v>
      </c>
      <c r="AZ132" s="948">
        <f t="shared" si="214"/>
        <v>743.44399999999996</v>
      </c>
      <c r="BA132" s="948">
        <f t="shared" si="215"/>
        <v>0</v>
      </c>
      <c r="BB132" s="948">
        <f t="shared" si="216"/>
        <v>0</v>
      </c>
      <c r="BC132" s="957">
        <f t="shared" si="217"/>
        <v>1.5786666666666667</v>
      </c>
      <c r="BD132" s="957">
        <f t="shared" si="217"/>
        <v>1.5786666666666667</v>
      </c>
      <c r="BE132" s="957">
        <f t="shared" si="217"/>
        <v>1.5786666666666667</v>
      </c>
      <c r="BF132" s="957">
        <f t="shared" si="217"/>
        <v>1.5786666666666667</v>
      </c>
      <c r="BG132" s="957">
        <f t="shared" si="217"/>
        <v>1.5786666666666667</v>
      </c>
      <c r="BH132" s="957">
        <f t="shared" si="217"/>
        <v>1.5786666666666667</v>
      </c>
      <c r="BI132" s="957">
        <f t="shared" si="217"/>
        <v>0.39466666666666667</v>
      </c>
      <c r="BJ132" s="957">
        <f t="shared" si="217"/>
        <v>0</v>
      </c>
      <c r="BK132" s="957">
        <f t="shared" si="218"/>
        <v>0</v>
      </c>
      <c r="BL132" s="948">
        <f t="shared" si="224"/>
        <v>210.27840000000003</v>
      </c>
      <c r="BM132" s="948">
        <f t="shared" si="219"/>
        <v>140.18560000000002</v>
      </c>
      <c r="BN132" s="948">
        <f t="shared" si="219"/>
        <v>180.04377600000001</v>
      </c>
      <c r="BO132" s="948">
        <f t="shared" si="219"/>
        <v>180.04377600000001</v>
      </c>
      <c r="BP132" s="948">
        <f t="shared" si="219"/>
        <v>210.27840000000003</v>
      </c>
      <c r="BQ132" s="948">
        <f t="shared" si="219"/>
        <v>140.18560000000002</v>
      </c>
      <c r="BR132" s="948">
        <f t="shared" si="219"/>
        <v>293.4125653333333</v>
      </c>
      <c r="BS132" s="948">
        <f t="shared" si="220"/>
        <v>0</v>
      </c>
      <c r="BT132" s="955">
        <f t="shared" si="221"/>
        <v>201.55180317460318</v>
      </c>
    </row>
    <row r="133" spans="1:72">
      <c r="A133" s="952">
        <v>9</v>
      </c>
      <c r="B133" s="952" t="s">
        <v>1100</v>
      </c>
      <c r="C133" s="950" t="s">
        <v>1101</v>
      </c>
      <c r="D133" s="950">
        <v>1</v>
      </c>
      <c r="E133" s="950">
        <v>1</v>
      </c>
      <c r="F133" s="948">
        <v>26</v>
      </c>
      <c r="G133" s="948">
        <f>G132</f>
        <v>0.25</v>
      </c>
      <c r="H133" s="948">
        <v>0.6</v>
      </c>
      <c r="I133" s="948">
        <v>0.12</v>
      </c>
      <c r="J133" s="948">
        <f t="shared" si="195"/>
        <v>0.48</v>
      </c>
      <c r="K133" s="948">
        <f t="shared" si="196"/>
        <v>3.12</v>
      </c>
      <c r="L133" s="948">
        <f>(2*J133)*F133*E133*D133</f>
        <v>24.96</v>
      </c>
      <c r="M133" s="952"/>
      <c r="N133" s="950">
        <v>16</v>
      </c>
      <c r="O133" s="950">
        <v>16</v>
      </c>
      <c r="P133" s="950">
        <v>16</v>
      </c>
      <c r="Q133" s="950">
        <v>16</v>
      </c>
      <c r="R133" s="950">
        <v>16</v>
      </c>
      <c r="S133" s="950">
        <v>16</v>
      </c>
      <c r="T133" s="950">
        <v>8</v>
      </c>
      <c r="U133" s="950"/>
      <c r="V133" s="950"/>
      <c r="W133" s="950">
        <v>200</v>
      </c>
      <c r="X133" s="950">
        <v>100</v>
      </c>
      <c r="Y133" s="950">
        <v>100</v>
      </c>
      <c r="Z133" s="950">
        <v>9</v>
      </c>
      <c r="AA133" s="950">
        <v>6</v>
      </c>
      <c r="AB133" s="950">
        <v>4</v>
      </c>
      <c r="AC133" s="950">
        <v>4</v>
      </c>
      <c r="AD133" s="950">
        <v>9</v>
      </c>
      <c r="AE133" s="950">
        <v>6</v>
      </c>
      <c r="AF133" s="955">
        <f>(F133/4)/(W133/1000)+1</f>
        <v>33.5</v>
      </c>
      <c r="AG133" s="955">
        <f t="shared" si="199"/>
        <v>131</v>
      </c>
      <c r="AH133" s="955">
        <f t="shared" si="222"/>
        <v>66</v>
      </c>
      <c r="AI133" s="955">
        <v>0</v>
      </c>
      <c r="AJ133" s="955">
        <v>0</v>
      </c>
      <c r="AK133" s="948">
        <f t="shared" si="200"/>
        <v>7.3000000000000007</v>
      </c>
      <c r="AL133" s="948">
        <f t="shared" si="201"/>
        <v>7.3000000000000007</v>
      </c>
      <c r="AM133" s="948">
        <f t="shared" si="202"/>
        <v>13.512</v>
      </c>
      <c r="AN133" s="948">
        <f t="shared" si="203"/>
        <v>13.512</v>
      </c>
      <c r="AO133" s="948">
        <f t="shared" si="204"/>
        <v>7.3000000000000007</v>
      </c>
      <c r="AP133" s="948">
        <f t="shared" si="205"/>
        <v>7.3000000000000007</v>
      </c>
      <c r="AQ133" s="948">
        <f t="shared" si="206"/>
        <v>1.508</v>
      </c>
      <c r="AR133" s="948">
        <f t="shared" si="207"/>
        <v>0</v>
      </c>
      <c r="AS133" s="948">
        <f t="shared" si="208"/>
        <v>0</v>
      </c>
      <c r="AT133" s="948">
        <f t="shared" si="225"/>
        <v>65.7</v>
      </c>
      <c r="AU133" s="948">
        <f t="shared" si="209"/>
        <v>43.800000000000004</v>
      </c>
      <c r="AV133" s="948">
        <f t="shared" si="210"/>
        <v>54.048000000000002</v>
      </c>
      <c r="AW133" s="948">
        <f t="shared" si="211"/>
        <v>54.048000000000002</v>
      </c>
      <c r="AX133" s="948">
        <f t="shared" si="212"/>
        <v>65.7</v>
      </c>
      <c r="AY133" s="948">
        <f t="shared" si="213"/>
        <v>43.800000000000004</v>
      </c>
      <c r="AZ133" s="948">
        <f t="shared" si="214"/>
        <v>347.59399999999999</v>
      </c>
      <c r="BA133" s="948">
        <f t="shared" si="215"/>
        <v>0</v>
      </c>
      <c r="BB133" s="948">
        <f t="shared" si="216"/>
        <v>0</v>
      </c>
      <c r="BC133" s="957">
        <f t="shared" si="217"/>
        <v>1.5786666666666667</v>
      </c>
      <c r="BD133" s="957">
        <f t="shared" si="217"/>
        <v>1.5786666666666667</v>
      </c>
      <c r="BE133" s="957">
        <f t="shared" si="217"/>
        <v>1.5786666666666667</v>
      </c>
      <c r="BF133" s="957">
        <f t="shared" si="217"/>
        <v>1.5786666666666667</v>
      </c>
      <c r="BG133" s="957">
        <f t="shared" si="217"/>
        <v>1.5786666666666667</v>
      </c>
      <c r="BH133" s="957">
        <f t="shared" si="217"/>
        <v>1.5786666666666667</v>
      </c>
      <c r="BI133" s="957">
        <f t="shared" si="217"/>
        <v>0.39466666666666667</v>
      </c>
      <c r="BJ133" s="957">
        <f t="shared" si="217"/>
        <v>0</v>
      </c>
      <c r="BK133" s="957">
        <f t="shared" si="218"/>
        <v>0</v>
      </c>
      <c r="BL133" s="948">
        <f t="shared" si="224"/>
        <v>103.7184</v>
      </c>
      <c r="BM133" s="948">
        <f t="shared" si="219"/>
        <v>69.145600000000002</v>
      </c>
      <c r="BN133" s="948">
        <f t="shared" si="219"/>
        <v>85.323776000000009</v>
      </c>
      <c r="BO133" s="948">
        <f t="shared" si="219"/>
        <v>85.323776000000009</v>
      </c>
      <c r="BP133" s="948">
        <f t="shared" si="219"/>
        <v>103.7184</v>
      </c>
      <c r="BQ133" s="948">
        <f t="shared" si="219"/>
        <v>69.145600000000002</v>
      </c>
      <c r="BR133" s="948">
        <f t="shared" si="219"/>
        <v>137.18376533333333</v>
      </c>
      <c r="BS133" s="948">
        <f t="shared" si="220"/>
        <v>0</v>
      </c>
      <c r="BT133" s="955">
        <f t="shared" si="221"/>
        <v>209.47414017094016</v>
      </c>
    </row>
    <row r="134" spans="1:72">
      <c r="A134" s="952">
        <v>10</v>
      </c>
      <c r="B134" s="952" t="s">
        <v>1102</v>
      </c>
      <c r="C134" s="950" t="s">
        <v>1103</v>
      </c>
      <c r="D134" s="950">
        <v>1</v>
      </c>
      <c r="E134" s="950">
        <v>1</v>
      </c>
      <c r="F134" s="948">
        <v>10</v>
      </c>
      <c r="G134" s="948">
        <v>0.25</v>
      </c>
      <c r="H134" s="948">
        <v>0.6</v>
      </c>
      <c r="I134" s="948">
        <v>0.12</v>
      </c>
      <c r="J134" s="948">
        <f t="shared" si="195"/>
        <v>0.48</v>
      </c>
      <c r="K134" s="948">
        <f>F134*G134*J134*D134*E134</f>
        <v>1.2</v>
      </c>
      <c r="L134" s="948">
        <f>(2*J134)*D134*E134*F134</f>
        <v>9.6</v>
      </c>
      <c r="M134" s="952"/>
      <c r="N134" s="950">
        <v>16</v>
      </c>
      <c r="O134" s="950">
        <v>16</v>
      </c>
      <c r="P134" s="950">
        <v>16</v>
      </c>
      <c r="Q134" s="950">
        <v>16</v>
      </c>
      <c r="R134" s="950">
        <v>16</v>
      </c>
      <c r="S134" s="950">
        <v>16</v>
      </c>
      <c r="T134" s="950">
        <v>8</v>
      </c>
      <c r="U134" s="950"/>
      <c r="V134" s="950"/>
      <c r="W134" s="950">
        <v>200</v>
      </c>
      <c r="X134" s="950">
        <v>100</v>
      </c>
      <c r="Y134" s="950">
        <v>100</v>
      </c>
      <c r="Z134" s="950">
        <v>9</v>
      </c>
      <c r="AA134" s="950">
        <v>6</v>
      </c>
      <c r="AB134" s="950">
        <v>4</v>
      </c>
      <c r="AC134" s="950">
        <v>4</v>
      </c>
      <c r="AD134" s="950">
        <v>9</v>
      </c>
      <c r="AE134" s="950">
        <v>6</v>
      </c>
      <c r="AF134" s="955">
        <f>(F134/4)/(W134/1000)+1</f>
        <v>13.5</v>
      </c>
      <c r="AG134" s="955">
        <f t="shared" si="199"/>
        <v>51</v>
      </c>
      <c r="AH134" s="955">
        <f t="shared" si="222"/>
        <v>26</v>
      </c>
      <c r="AI134" s="955">
        <v>0</v>
      </c>
      <c r="AJ134" s="955">
        <v>0</v>
      </c>
      <c r="AK134" s="948">
        <f t="shared" si="200"/>
        <v>3.3000000000000003</v>
      </c>
      <c r="AL134" s="948">
        <f t="shared" si="201"/>
        <v>3.3000000000000003</v>
      </c>
      <c r="AM134" s="948">
        <f t="shared" si="202"/>
        <v>5.5120000000000005</v>
      </c>
      <c r="AN134" s="948">
        <f t="shared" si="203"/>
        <v>5.5120000000000005</v>
      </c>
      <c r="AO134" s="948">
        <f t="shared" si="204"/>
        <v>3.3000000000000003</v>
      </c>
      <c r="AP134" s="948">
        <f t="shared" si="205"/>
        <v>3.3000000000000003</v>
      </c>
      <c r="AQ134" s="948">
        <f t="shared" si="206"/>
        <v>1.508</v>
      </c>
      <c r="AR134" s="948">
        <f t="shared" si="207"/>
        <v>0</v>
      </c>
      <c r="AS134" s="948">
        <f t="shared" si="208"/>
        <v>0</v>
      </c>
      <c r="AT134" s="948">
        <f t="shared" si="225"/>
        <v>29.700000000000003</v>
      </c>
      <c r="AU134" s="948">
        <f t="shared" si="209"/>
        <v>19.8</v>
      </c>
      <c r="AV134" s="948">
        <f t="shared" si="210"/>
        <v>22.048000000000002</v>
      </c>
      <c r="AW134" s="948">
        <f t="shared" si="211"/>
        <v>22.048000000000002</v>
      </c>
      <c r="AX134" s="948">
        <f t="shared" si="212"/>
        <v>29.700000000000003</v>
      </c>
      <c r="AY134" s="948">
        <f t="shared" si="213"/>
        <v>19.8</v>
      </c>
      <c r="AZ134" s="948">
        <f t="shared" si="214"/>
        <v>136.47399999999999</v>
      </c>
      <c r="BA134" s="948">
        <f t="shared" si="215"/>
        <v>0</v>
      </c>
      <c r="BB134" s="948">
        <f t="shared" si="216"/>
        <v>0</v>
      </c>
      <c r="BC134" s="957">
        <f t="shared" si="217"/>
        <v>1.5786666666666667</v>
      </c>
      <c r="BD134" s="957">
        <f t="shared" si="217"/>
        <v>1.5786666666666667</v>
      </c>
      <c r="BE134" s="957">
        <f t="shared" si="217"/>
        <v>1.5786666666666667</v>
      </c>
      <c r="BF134" s="957">
        <f t="shared" si="217"/>
        <v>1.5786666666666667</v>
      </c>
      <c r="BG134" s="957">
        <f t="shared" si="217"/>
        <v>1.5786666666666667</v>
      </c>
      <c r="BH134" s="957">
        <f t="shared" si="217"/>
        <v>1.5786666666666667</v>
      </c>
      <c r="BI134" s="957">
        <f t="shared" si="217"/>
        <v>0.39466666666666667</v>
      </c>
      <c r="BJ134" s="957">
        <f t="shared" si="217"/>
        <v>0</v>
      </c>
      <c r="BK134" s="957">
        <f t="shared" si="218"/>
        <v>0</v>
      </c>
      <c r="BL134" s="948">
        <f t="shared" si="224"/>
        <v>46.886400000000002</v>
      </c>
      <c r="BM134" s="948">
        <f t="shared" si="219"/>
        <v>31.2576</v>
      </c>
      <c r="BN134" s="948">
        <f t="shared" si="219"/>
        <v>34.806442666666669</v>
      </c>
      <c r="BO134" s="948">
        <f t="shared" si="219"/>
        <v>34.806442666666669</v>
      </c>
      <c r="BP134" s="948">
        <f t="shared" si="219"/>
        <v>46.886400000000002</v>
      </c>
      <c r="BQ134" s="948">
        <f t="shared" si="219"/>
        <v>31.2576</v>
      </c>
      <c r="BR134" s="948">
        <f t="shared" si="219"/>
        <v>53.86173866666666</v>
      </c>
      <c r="BS134" s="948"/>
      <c r="BT134" s="955">
        <f t="shared" si="221"/>
        <v>233.13552000000001</v>
      </c>
    </row>
    <row r="135" spans="1:72">
      <c r="A135" s="952">
        <v>11</v>
      </c>
      <c r="B135" s="952" t="s">
        <v>1137</v>
      </c>
      <c r="C135" s="950" t="s">
        <v>1091</v>
      </c>
      <c r="D135" s="950">
        <v>1</v>
      </c>
      <c r="E135" s="950">
        <v>1</v>
      </c>
      <c r="F135" s="948">
        <f>7.2*2</f>
        <v>14.4</v>
      </c>
      <c r="G135" s="948">
        <v>0.3</v>
      </c>
      <c r="H135" s="948">
        <v>0.7</v>
      </c>
      <c r="I135" s="948">
        <v>0.12</v>
      </c>
      <c r="J135" s="948">
        <f t="shared" si="195"/>
        <v>0.57999999999999996</v>
      </c>
      <c r="K135" s="948">
        <f t="shared" ref="K135" si="226">F135*G135*J135*D135*E135</f>
        <v>2.5055999999999998</v>
      </c>
      <c r="L135" s="948">
        <f>(2*J135)*F135*E135*D135</f>
        <v>16.704000000000001</v>
      </c>
      <c r="M135" s="952"/>
      <c r="N135" s="950">
        <v>19</v>
      </c>
      <c r="O135" s="950">
        <v>19</v>
      </c>
      <c r="P135" s="950">
        <v>19</v>
      </c>
      <c r="Q135" s="950">
        <v>19</v>
      </c>
      <c r="R135" s="950">
        <v>19</v>
      </c>
      <c r="S135" s="950">
        <v>19</v>
      </c>
      <c r="T135" s="950">
        <v>8</v>
      </c>
      <c r="U135" s="950"/>
      <c r="V135" s="950"/>
      <c r="W135" s="950">
        <v>200</v>
      </c>
      <c r="X135" s="950">
        <v>100</v>
      </c>
      <c r="Y135" s="950">
        <v>100</v>
      </c>
      <c r="Z135" s="950">
        <v>9</v>
      </c>
      <c r="AA135" s="950">
        <v>6</v>
      </c>
      <c r="AB135" s="950">
        <v>4</v>
      </c>
      <c r="AC135" s="950">
        <v>4</v>
      </c>
      <c r="AD135" s="950">
        <v>9</v>
      </c>
      <c r="AE135" s="950">
        <v>6</v>
      </c>
      <c r="AF135" s="955">
        <f t="shared" ref="AF135:AF136" si="227">(F135/4)/(W135/1000)+1</f>
        <v>19</v>
      </c>
      <c r="AG135" s="955">
        <f t="shared" si="199"/>
        <v>73</v>
      </c>
      <c r="AH135" s="955">
        <f t="shared" si="222"/>
        <v>37</v>
      </c>
      <c r="AI135" s="955">
        <v>0</v>
      </c>
      <c r="AJ135" s="955">
        <v>0</v>
      </c>
      <c r="AK135" s="948">
        <f t="shared" si="200"/>
        <v>4.55</v>
      </c>
      <c r="AL135" s="948">
        <f t="shared" si="201"/>
        <v>4.55</v>
      </c>
      <c r="AM135" s="948">
        <f t="shared" si="202"/>
        <v>7.8079999999999998</v>
      </c>
      <c r="AN135" s="948">
        <f t="shared" si="203"/>
        <v>7.8079999999999998</v>
      </c>
      <c r="AO135" s="948">
        <f t="shared" si="204"/>
        <v>4.55</v>
      </c>
      <c r="AP135" s="948">
        <f t="shared" si="205"/>
        <v>4.55</v>
      </c>
      <c r="AQ135" s="948">
        <f t="shared" si="206"/>
        <v>1.8080000000000001</v>
      </c>
      <c r="AR135" s="948">
        <f t="shared" si="207"/>
        <v>0</v>
      </c>
      <c r="AS135" s="948">
        <f t="shared" si="208"/>
        <v>0</v>
      </c>
      <c r="AT135" s="948">
        <f t="shared" si="225"/>
        <v>40.949999999999996</v>
      </c>
      <c r="AU135" s="948">
        <f t="shared" si="209"/>
        <v>27.299999999999997</v>
      </c>
      <c r="AV135" s="948">
        <f t="shared" si="210"/>
        <v>31.231999999999999</v>
      </c>
      <c r="AW135" s="948">
        <f t="shared" si="211"/>
        <v>31.231999999999999</v>
      </c>
      <c r="AX135" s="948">
        <f t="shared" si="212"/>
        <v>40.949999999999996</v>
      </c>
      <c r="AY135" s="948">
        <f t="shared" si="213"/>
        <v>27.299999999999997</v>
      </c>
      <c r="AZ135" s="948">
        <f t="shared" si="214"/>
        <v>233.232</v>
      </c>
      <c r="BA135" s="948">
        <f t="shared" si="215"/>
        <v>0</v>
      </c>
      <c r="BB135" s="948">
        <f t="shared" si="216"/>
        <v>0</v>
      </c>
      <c r="BC135" s="957">
        <f t="shared" si="217"/>
        <v>2.2261666666666664</v>
      </c>
      <c r="BD135" s="957">
        <f t="shared" si="217"/>
        <v>2.2261666666666664</v>
      </c>
      <c r="BE135" s="957">
        <f t="shared" si="217"/>
        <v>2.2261666666666664</v>
      </c>
      <c r="BF135" s="957">
        <f t="shared" si="217"/>
        <v>2.2261666666666664</v>
      </c>
      <c r="BG135" s="957">
        <f t="shared" si="217"/>
        <v>2.2261666666666664</v>
      </c>
      <c r="BH135" s="957">
        <f t="shared" si="217"/>
        <v>2.2261666666666664</v>
      </c>
      <c r="BI135" s="957">
        <f t="shared" si="217"/>
        <v>0.39466666666666667</v>
      </c>
      <c r="BJ135" s="957">
        <f t="shared" si="217"/>
        <v>0</v>
      </c>
      <c r="BK135" s="957">
        <f t="shared" si="218"/>
        <v>0</v>
      </c>
      <c r="BL135" s="948">
        <f t="shared" si="224"/>
        <v>91.161524999999983</v>
      </c>
      <c r="BM135" s="948">
        <f t="shared" si="219"/>
        <v>60.774349999999984</v>
      </c>
      <c r="BN135" s="948">
        <f t="shared" si="219"/>
        <v>69.527637333333317</v>
      </c>
      <c r="BO135" s="948">
        <f t="shared" si="219"/>
        <v>69.527637333333317</v>
      </c>
      <c r="BP135" s="948">
        <f t="shared" si="219"/>
        <v>91.161524999999983</v>
      </c>
      <c r="BQ135" s="948">
        <f t="shared" si="219"/>
        <v>60.774349999999984</v>
      </c>
      <c r="BR135" s="948">
        <f t="shared" si="219"/>
        <v>92.048895999999999</v>
      </c>
      <c r="BS135" s="948">
        <f>BB135*BK135</f>
        <v>0</v>
      </c>
      <c r="BT135" s="955">
        <f t="shared" si="221"/>
        <v>213.51210116006808</v>
      </c>
    </row>
    <row r="136" spans="1:72">
      <c r="A136" s="952">
        <v>12</v>
      </c>
      <c r="B136" s="952" t="s">
        <v>1138</v>
      </c>
      <c r="C136" s="950" t="s">
        <v>1139</v>
      </c>
      <c r="D136" s="950">
        <v>1</v>
      </c>
      <c r="E136" s="950">
        <v>1</v>
      </c>
      <c r="F136" s="948">
        <f>5.6+8</f>
        <v>13.6</v>
      </c>
      <c r="G136" s="948">
        <v>0.35</v>
      </c>
      <c r="H136" s="948">
        <v>0.8</v>
      </c>
      <c r="I136" s="948">
        <v>0.12</v>
      </c>
      <c r="J136" s="948">
        <f t="shared" si="195"/>
        <v>0.68</v>
      </c>
      <c r="K136" s="948">
        <f>F136*G136*J136*D136*E136</f>
        <v>3.2368000000000001</v>
      </c>
      <c r="L136" s="948">
        <f>(2*J136)*D136*E136*F136</f>
        <v>18.496000000000002</v>
      </c>
      <c r="M136" s="952"/>
      <c r="N136" s="950">
        <v>25</v>
      </c>
      <c r="O136" s="950">
        <v>25</v>
      </c>
      <c r="P136" s="950">
        <v>25</v>
      </c>
      <c r="Q136" s="950">
        <v>25</v>
      </c>
      <c r="R136" s="950">
        <v>25</v>
      </c>
      <c r="S136" s="950">
        <v>25</v>
      </c>
      <c r="T136" s="950">
        <v>8</v>
      </c>
      <c r="U136" s="950"/>
      <c r="V136" s="950"/>
      <c r="W136" s="950">
        <v>200</v>
      </c>
      <c r="X136" s="950">
        <v>100</v>
      </c>
      <c r="Y136" s="950">
        <v>100</v>
      </c>
      <c r="Z136" s="950">
        <v>9</v>
      </c>
      <c r="AA136" s="950">
        <v>6</v>
      </c>
      <c r="AB136" s="950">
        <v>4</v>
      </c>
      <c r="AC136" s="950">
        <v>4</v>
      </c>
      <c r="AD136" s="950">
        <v>9</v>
      </c>
      <c r="AE136" s="950">
        <v>6</v>
      </c>
      <c r="AF136" s="955">
        <f t="shared" si="227"/>
        <v>18</v>
      </c>
      <c r="AG136" s="955">
        <f t="shared" si="199"/>
        <v>69</v>
      </c>
      <c r="AH136" s="955">
        <f t="shared" si="222"/>
        <v>35</v>
      </c>
      <c r="AI136" s="955">
        <v>0</v>
      </c>
      <c r="AJ136" s="955">
        <v>0</v>
      </c>
      <c r="AK136" s="948">
        <f t="shared" si="200"/>
        <v>4.6500000000000004</v>
      </c>
      <c r="AL136" s="948">
        <f t="shared" si="201"/>
        <v>4.6500000000000004</v>
      </c>
      <c r="AM136" s="948">
        <f t="shared" si="202"/>
        <v>7.6</v>
      </c>
      <c r="AN136" s="948">
        <f t="shared" si="203"/>
        <v>7.6</v>
      </c>
      <c r="AO136" s="948">
        <f t="shared" si="204"/>
        <v>4.6500000000000004</v>
      </c>
      <c r="AP136" s="948">
        <f t="shared" si="205"/>
        <v>4.6500000000000004</v>
      </c>
      <c r="AQ136" s="948">
        <f t="shared" si="206"/>
        <v>2.1079999999999997</v>
      </c>
      <c r="AR136" s="948">
        <f t="shared" si="207"/>
        <v>0</v>
      </c>
      <c r="AS136" s="948">
        <f t="shared" si="208"/>
        <v>0</v>
      </c>
      <c r="AT136" s="948">
        <f t="shared" si="225"/>
        <v>41.85</v>
      </c>
      <c r="AU136" s="948">
        <f t="shared" si="209"/>
        <v>27.900000000000002</v>
      </c>
      <c r="AV136" s="948">
        <f t="shared" si="210"/>
        <v>30.4</v>
      </c>
      <c r="AW136" s="948">
        <f t="shared" si="211"/>
        <v>30.4</v>
      </c>
      <c r="AX136" s="948">
        <f t="shared" si="212"/>
        <v>41.85</v>
      </c>
      <c r="AY136" s="948">
        <f t="shared" si="213"/>
        <v>27.900000000000002</v>
      </c>
      <c r="AZ136" s="948">
        <f t="shared" si="214"/>
        <v>257.17599999999993</v>
      </c>
      <c r="BA136" s="948">
        <f t="shared" si="215"/>
        <v>0</v>
      </c>
      <c r="BB136" s="948">
        <f t="shared" si="216"/>
        <v>0</v>
      </c>
      <c r="BC136" s="957">
        <f t="shared" si="217"/>
        <v>3.8541666666666665</v>
      </c>
      <c r="BD136" s="957">
        <f t="shared" si="217"/>
        <v>3.8541666666666665</v>
      </c>
      <c r="BE136" s="957">
        <f t="shared" si="217"/>
        <v>3.8541666666666665</v>
      </c>
      <c r="BF136" s="957">
        <f t="shared" si="217"/>
        <v>3.8541666666666665</v>
      </c>
      <c r="BG136" s="957">
        <f t="shared" si="217"/>
        <v>3.8541666666666665</v>
      </c>
      <c r="BH136" s="957">
        <f t="shared" si="217"/>
        <v>3.8541666666666665</v>
      </c>
      <c r="BI136" s="957">
        <f t="shared" si="217"/>
        <v>0.39466666666666667</v>
      </c>
      <c r="BJ136" s="957">
        <f t="shared" si="217"/>
        <v>0</v>
      </c>
      <c r="BK136" s="957">
        <f t="shared" si="218"/>
        <v>0</v>
      </c>
      <c r="BL136" s="948">
        <f t="shared" si="224"/>
        <v>161.296875</v>
      </c>
      <c r="BM136" s="948">
        <f t="shared" si="219"/>
        <v>107.53125</v>
      </c>
      <c r="BN136" s="948">
        <f t="shared" si="219"/>
        <v>117.16666666666666</v>
      </c>
      <c r="BO136" s="948">
        <f t="shared" si="219"/>
        <v>117.16666666666666</v>
      </c>
      <c r="BP136" s="948">
        <f t="shared" si="219"/>
        <v>161.296875</v>
      </c>
      <c r="BQ136" s="948">
        <f t="shared" si="219"/>
        <v>107.53125</v>
      </c>
      <c r="BR136" s="948">
        <f t="shared" si="219"/>
        <v>101.49879466666664</v>
      </c>
      <c r="BS136" s="948">
        <f>BB136*BK136</f>
        <v>0</v>
      </c>
      <c r="BT136" s="955">
        <f t="shared" si="221"/>
        <v>269.86170847750861</v>
      </c>
    </row>
    <row r="137" spans="1:72">
      <c r="A137" s="952"/>
      <c r="B137" s="952"/>
      <c r="C137" s="950"/>
      <c r="D137" s="950"/>
      <c r="E137" s="950"/>
      <c r="F137" s="948"/>
      <c r="G137" s="948"/>
      <c r="H137" s="948"/>
      <c r="I137" s="948"/>
      <c r="J137" s="948"/>
      <c r="K137" s="948"/>
      <c r="L137" s="948"/>
      <c r="M137" s="952"/>
      <c r="N137" s="959"/>
      <c r="O137" s="959"/>
      <c r="P137" s="950"/>
      <c r="Q137" s="950"/>
      <c r="R137" s="950"/>
      <c r="S137" s="950"/>
      <c r="T137" s="950"/>
      <c r="U137" s="950"/>
      <c r="V137" s="950"/>
      <c r="W137" s="950"/>
      <c r="X137" s="950"/>
      <c r="Y137" s="950"/>
      <c r="Z137" s="950"/>
      <c r="AA137" s="950"/>
      <c r="AB137" s="950"/>
      <c r="AC137" s="950"/>
      <c r="AD137" s="950"/>
      <c r="AE137" s="950"/>
      <c r="AF137" s="955"/>
      <c r="AG137" s="955"/>
      <c r="AH137" s="955"/>
      <c r="AI137" s="955"/>
      <c r="AJ137" s="955"/>
      <c r="AK137" s="948"/>
      <c r="AL137" s="948"/>
      <c r="AM137" s="948"/>
      <c r="AN137" s="948"/>
      <c r="AO137" s="948"/>
      <c r="AP137" s="948"/>
      <c r="AQ137" s="948"/>
      <c r="AR137" s="948"/>
      <c r="AS137" s="948"/>
      <c r="AT137" s="948"/>
      <c r="AU137" s="948"/>
      <c r="AV137" s="948"/>
      <c r="AW137" s="948"/>
      <c r="AX137" s="948"/>
      <c r="AY137" s="948"/>
      <c r="AZ137" s="948"/>
      <c r="BA137" s="948"/>
      <c r="BB137" s="948"/>
      <c r="BC137" s="957"/>
      <c r="BD137" s="957"/>
      <c r="BE137" s="957"/>
      <c r="BF137" s="957"/>
      <c r="BG137" s="957"/>
      <c r="BH137" s="957"/>
      <c r="BI137" s="957"/>
      <c r="BJ137" s="957"/>
      <c r="BK137" s="957"/>
      <c r="BL137" s="948"/>
      <c r="BM137" s="948"/>
      <c r="BN137" s="948"/>
      <c r="BO137" s="948"/>
      <c r="BP137" s="948"/>
      <c r="BQ137" s="948"/>
      <c r="BR137" s="948"/>
      <c r="BS137" s="948"/>
      <c r="BT137" s="955"/>
    </row>
    <row r="138" spans="1:72">
      <c r="A138" s="960" t="s">
        <v>8</v>
      </c>
      <c r="B138" s="960" t="s">
        <v>1104</v>
      </c>
      <c r="C138" s="950"/>
      <c r="D138" s="950"/>
      <c r="E138" s="950"/>
      <c r="F138" s="948"/>
      <c r="G138" s="948"/>
      <c r="H138" s="948"/>
      <c r="I138" s="948"/>
      <c r="J138" s="948"/>
      <c r="K138" s="948"/>
      <c r="L138" s="948"/>
      <c r="M138" s="952"/>
      <c r="N138" s="959" t="str">
        <f>A138</f>
        <v>B</v>
      </c>
      <c r="O138" s="959" t="str">
        <f>B138</f>
        <v>Horizontal</v>
      </c>
      <c r="P138" s="950"/>
      <c r="Q138" s="950"/>
      <c r="R138" s="950"/>
      <c r="S138" s="950"/>
      <c r="T138" s="950"/>
      <c r="U138" s="950"/>
      <c r="V138" s="950"/>
      <c r="W138" s="950"/>
      <c r="X138" s="950"/>
      <c r="Y138" s="950"/>
      <c r="Z138" s="950"/>
      <c r="AA138" s="950"/>
      <c r="AB138" s="950"/>
      <c r="AC138" s="950"/>
      <c r="AD138" s="950"/>
      <c r="AE138" s="950"/>
      <c r="AF138" s="955"/>
      <c r="AG138" s="955"/>
      <c r="AH138" s="955"/>
      <c r="AI138" s="955"/>
      <c r="AJ138" s="955"/>
      <c r="AK138" s="948"/>
      <c r="AL138" s="948"/>
      <c r="AM138" s="948"/>
      <c r="AN138" s="948"/>
      <c r="AO138" s="948"/>
      <c r="AP138" s="948"/>
      <c r="AQ138" s="948"/>
      <c r="AR138" s="948"/>
      <c r="AS138" s="948"/>
      <c r="AT138" s="948"/>
      <c r="AU138" s="948"/>
      <c r="AV138" s="948"/>
      <c r="AW138" s="948"/>
      <c r="AX138" s="948"/>
      <c r="AY138" s="948"/>
      <c r="AZ138" s="948"/>
      <c r="BA138" s="948"/>
      <c r="BB138" s="948"/>
      <c r="BC138" s="957"/>
      <c r="BD138" s="957"/>
      <c r="BE138" s="957"/>
      <c r="BF138" s="957"/>
      <c r="BG138" s="957"/>
      <c r="BH138" s="957"/>
      <c r="BI138" s="957"/>
      <c r="BJ138" s="957"/>
      <c r="BK138" s="957"/>
      <c r="BL138" s="948"/>
      <c r="BM138" s="948"/>
      <c r="BN138" s="948"/>
      <c r="BO138" s="948"/>
      <c r="BP138" s="948"/>
      <c r="BQ138" s="948"/>
      <c r="BR138" s="948"/>
      <c r="BS138" s="948"/>
      <c r="BT138" s="955"/>
    </row>
    <row r="139" spans="1:72">
      <c r="A139" s="952">
        <v>1</v>
      </c>
      <c r="B139" s="952" t="s">
        <v>1105</v>
      </c>
      <c r="C139" s="950" t="s">
        <v>1106</v>
      </c>
      <c r="D139" s="950">
        <v>1</v>
      </c>
      <c r="E139" s="950">
        <v>1</v>
      </c>
      <c r="F139" s="948">
        <v>72</v>
      </c>
      <c r="G139" s="948">
        <v>0.3</v>
      </c>
      <c r="H139" s="948">
        <v>0.65</v>
      </c>
      <c r="I139" s="948">
        <v>0.12</v>
      </c>
      <c r="J139" s="948">
        <f t="shared" ref="J139:J147" si="228">H139-I139</f>
        <v>0.53</v>
      </c>
      <c r="K139" s="948">
        <f t="shared" ref="K139" si="229">F139*G139*J139*D139*E139</f>
        <v>11.447999999999999</v>
      </c>
      <c r="L139" s="948">
        <f>(2*J139)*F139*E139*D139</f>
        <v>76.320000000000007</v>
      </c>
      <c r="M139" s="952"/>
      <c r="N139" s="950">
        <v>16</v>
      </c>
      <c r="O139" s="950">
        <v>16</v>
      </c>
      <c r="P139" s="950">
        <v>16</v>
      </c>
      <c r="Q139" s="950">
        <v>16</v>
      </c>
      <c r="R139" s="950">
        <v>16</v>
      </c>
      <c r="S139" s="950">
        <v>16</v>
      </c>
      <c r="T139" s="950">
        <v>8</v>
      </c>
      <c r="U139" s="950"/>
      <c r="V139" s="950"/>
      <c r="W139" s="950">
        <v>200</v>
      </c>
      <c r="X139" s="950">
        <v>100</v>
      </c>
      <c r="Y139" s="950">
        <f>X139</f>
        <v>100</v>
      </c>
      <c r="Z139" s="950">
        <v>9</v>
      </c>
      <c r="AA139" s="950">
        <v>6</v>
      </c>
      <c r="AB139" s="950">
        <v>16</v>
      </c>
      <c r="AC139" s="950">
        <v>16</v>
      </c>
      <c r="AD139" s="950">
        <v>9</v>
      </c>
      <c r="AE139" s="950">
        <v>6</v>
      </c>
      <c r="AF139" s="955">
        <f t="shared" ref="AF139:AF147" si="230">(F139/4)/(W139/1000)+1</f>
        <v>91</v>
      </c>
      <c r="AG139" s="955">
        <f t="shared" ref="AG139:AG147" si="231">(F139/2)/(X139/1000)+1</f>
        <v>361</v>
      </c>
      <c r="AH139" s="955">
        <f t="shared" ref="AH139:AH147" si="232">(F139/4)/(Y139/1000)+1</f>
        <v>181</v>
      </c>
      <c r="AI139" s="955">
        <v>0</v>
      </c>
      <c r="AJ139" s="955">
        <v>0</v>
      </c>
      <c r="AK139" s="948">
        <f t="shared" ref="AK139:AK147" si="233">(F139/4)+(20*N139/1000)+(10*N139/1000)+(8*N139/1000)+(6*2*N139/1000)</f>
        <v>18.8</v>
      </c>
      <c r="AL139" s="948">
        <f t="shared" ref="AL139:AL147" si="234">(F139/4)+(20*O139/1000)+(10*O139/1000)+(8*O139/1000)+(6*2*O139/1000)</f>
        <v>18.8</v>
      </c>
      <c r="AM139" s="948">
        <f t="shared" ref="AM139:AM147" si="235">(F139/2)+(20*P139/1000)+(6*2*P139/1000)</f>
        <v>36.512</v>
      </c>
      <c r="AN139" s="948">
        <f t="shared" ref="AN139:AN147" si="236">(F139/2)+(20*Q139/1000)+(6*2*Q139/1000)</f>
        <v>36.512</v>
      </c>
      <c r="AO139" s="948">
        <f t="shared" ref="AO139:AO147" si="237">(F139/4)+(20*R139/1000)+(10*R139/1000)+(8*R139/1000)+(6*2*R139/1000)</f>
        <v>18.8</v>
      </c>
      <c r="AP139" s="948">
        <f t="shared" ref="AP139:AP147" si="238">(F139/4)+(20*S139/1000)+(10*S139/1000)+(8*S139/1000)+(6*2*S139/1000)</f>
        <v>18.8</v>
      </c>
      <c r="AQ139" s="948">
        <f t="shared" ref="AQ139:AQ147" si="239">(2*G139)+(2*H139)+(6*T139/1000)-(8*0.03)</f>
        <v>1.708</v>
      </c>
      <c r="AR139" s="948">
        <f t="shared" ref="AR139:AR147" si="240">((H139)+(2*6*U139/1000)-(2*0.03))*AI139</f>
        <v>0</v>
      </c>
      <c r="AS139" s="948">
        <f t="shared" ref="AS139:AS147" si="241">((G139)+(2*6*V139/1000)-(2*0.03))*AJ139</f>
        <v>0</v>
      </c>
      <c r="AT139" s="948">
        <f t="shared" ref="AT139:AT147" si="242">AK139*Z139*E139*D139</f>
        <v>169.20000000000002</v>
      </c>
      <c r="AU139" s="948">
        <f t="shared" ref="AU139:AU147" si="243">AL139*AA139*E139*D139</f>
        <v>112.80000000000001</v>
      </c>
      <c r="AV139" s="948">
        <f t="shared" ref="AV139:AV147" si="244">AM139*AB139*E139*D139</f>
        <v>584.19200000000001</v>
      </c>
      <c r="AW139" s="948">
        <f t="shared" ref="AW139:AW147" si="245">AN139*AC139*E139*D139</f>
        <v>584.19200000000001</v>
      </c>
      <c r="AX139" s="948">
        <f t="shared" ref="AX139:AX147" si="246">AO139*AD139*E139*D139</f>
        <v>169.20000000000002</v>
      </c>
      <c r="AY139" s="948">
        <f t="shared" ref="AY139:AY147" si="247">AP139*AE139*E139*D139</f>
        <v>112.80000000000001</v>
      </c>
      <c r="AZ139" s="948">
        <f t="shared" ref="AZ139:AZ147" si="248">AQ139*(AF139+AG139+AH139)*E139*D139</f>
        <v>1081.164</v>
      </c>
      <c r="BA139" s="948">
        <f t="shared" ref="BA139:BA147" si="249">AR139*(AF139+AG139+AH139)*E139*D139</f>
        <v>0</v>
      </c>
      <c r="BB139" s="948">
        <f t="shared" ref="BB139:BB147" si="250">AS139*(AF139+AG139+AH139)*E139*D139</f>
        <v>0</v>
      </c>
      <c r="BC139" s="957">
        <f t="shared" ref="BC139:BK147" si="251">N139*N139*0.074/12</f>
        <v>1.5786666666666667</v>
      </c>
      <c r="BD139" s="957">
        <f t="shared" si="251"/>
        <v>1.5786666666666667</v>
      </c>
      <c r="BE139" s="957">
        <f t="shared" si="251"/>
        <v>1.5786666666666667</v>
      </c>
      <c r="BF139" s="957">
        <f t="shared" si="251"/>
        <v>1.5786666666666667</v>
      </c>
      <c r="BG139" s="957">
        <f t="shared" si="251"/>
        <v>1.5786666666666667</v>
      </c>
      <c r="BH139" s="957">
        <f t="shared" si="251"/>
        <v>1.5786666666666667</v>
      </c>
      <c r="BI139" s="957">
        <f t="shared" si="251"/>
        <v>0.39466666666666667</v>
      </c>
      <c r="BJ139" s="957">
        <f t="shared" si="251"/>
        <v>0</v>
      </c>
      <c r="BK139" s="957">
        <f t="shared" si="251"/>
        <v>0</v>
      </c>
      <c r="BL139" s="948">
        <f t="shared" ref="BL139:BR147" si="252">AT139*BC139</f>
        <v>267.11040000000003</v>
      </c>
      <c r="BM139" s="948">
        <f t="shared" si="252"/>
        <v>178.07360000000003</v>
      </c>
      <c r="BN139" s="948">
        <f t="shared" si="252"/>
        <v>922.24443733333339</v>
      </c>
      <c r="BO139" s="948">
        <f t="shared" si="252"/>
        <v>922.24443733333339</v>
      </c>
      <c r="BP139" s="948">
        <f t="shared" si="252"/>
        <v>267.11040000000003</v>
      </c>
      <c r="BQ139" s="948">
        <f t="shared" si="252"/>
        <v>178.07360000000003</v>
      </c>
      <c r="BR139" s="948">
        <f>AZ139*BI139</f>
        <v>426.69939199999999</v>
      </c>
      <c r="BS139" s="948">
        <f t="shared" ref="BS139:BS147" si="253">BB139*BK139</f>
        <v>0</v>
      </c>
      <c r="BT139" s="955">
        <f t="shared" ref="BT139:BT147" si="254">SUM(BL139:BS139)/K139</f>
        <v>276.16668996040073</v>
      </c>
    </row>
    <row r="140" spans="1:72">
      <c r="A140" s="952">
        <v>2</v>
      </c>
      <c r="B140" s="952" t="s">
        <v>1107</v>
      </c>
      <c r="C140" s="950" t="s">
        <v>1108</v>
      </c>
      <c r="D140" s="950">
        <v>1</v>
      </c>
      <c r="E140" s="950">
        <v>1</v>
      </c>
      <c r="F140" s="948">
        <v>64</v>
      </c>
      <c r="G140" s="948">
        <v>0.3</v>
      </c>
      <c r="H140" s="948">
        <v>0.65</v>
      </c>
      <c r="I140" s="948">
        <v>0.12</v>
      </c>
      <c r="J140" s="948">
        <f t="shared" si="228"/>
        <v>0.53</v>
      </c>
      <c r="K140" s="948">
        <f>F140*G140*J140*D140*E140</f>
        <v>10.176</v>
      </c>
      <c r="L140" s="948">
        <f t="shared" ref="L140:L147" si="255">(2*J140)*F140*E140*D140</f>
        <v>67.84</v>
      </c>
      <c r="M140" s="952"/>
      <c r="N140" s="950">
        <v>16</v>
      </c>
      <c r="O140" s="950">
        <v>16</v>
      </c>
      <c r="P140" s="950">
        <v>16</v>
      </c>
      <c r="Q140" s="950">
        <v>16</v>
      </c>
      <c r="R140" s="950">
        <v>16</v>
      </c>
      <c r="S140" s="950">
        <v>16</v>
      </c>
      <c r="T140" s="950">
        <v>8</v>
      </c>
      <c r="U140" s="950"/>
      <c r="V140" s="950"/>
      <c r="W140" s="950">
        <v>200</v>
      </c>
      <c r="X140" s="950">
        <v>100</v>
      </c>
      <c r="Y140" s="950">
        <v>100</v>
      </c>
      <c r="Z140" s="950">
        <v>4</v>
      </c>
      <c r="AA140" s="950">
        <v>4</v>
      </c>
      <c r="AB140" s="950">
        <v>2</v>
      </c>
      <c r="AC140" s="950">
        <v>2</v>
      </c>
      <c r="AD140" s="950">
        <v>4</v>
      </c>
      <c r="AE140" s="950">
        <v>4</v>
      </c>
      <c r="AF140" s="955">
        <f t="shared" si="230"/>
        <v>81</v>
      </c>
      <c r="AG140" s="955">
        <f t="shared" si="231"/>
        <v>321</v>
      </c>
      <c r="AH140" s="955">
        <f t="shared" si="232"/>
        <v>161</v>
      </c>
      <c r="AI140" s="955">
        <v>0</v>
      </c>
      <c r="AJ140" s="955">
        <v>0</v>
      </c>
      <c r="AK140" s="948">
        <f t="shared" si="233"/>
        <v>16.8</v>
      </c>
      <c r="AL140" s="948">
        <f t="shared" si="234"/>
        <v>16.8</v>
      </c>
      <c r="AM140" s="948">
        <f t="shared" si="235"/>
        <v>32.512</v>
      </c>
      <c r="AN140" s="948">
        <f t="shared" si="236"/>
        <v>32.512</v>
      </c>
      <c r="AO140" s="948">
        <f t="shared" si="237"/>
        <v>16.8</v>
      </c>
      <c r="AP140" s="948">
        <f t="shared" si="238"/>
        <v>16.8</v>
      </c>
      <c r="AQ140" s="948">
        <f t="shared" si="239"/>
        <v>1.708</v>
      </c>
      <c r="AR140" s="948">
        <f t="shared" si="240"/>
        <v>0</v>
      </c>
      <c r="AS140" s="948">
        <f t="shared" si="241"/>
        <v>0</v>
      </c>
      <c r="AT140" s="948">
        <f t="shared" si="242"/>
        <v>67.2</v>
      </c>
      <c r="AU140" s="948">
        <f t="shared" si="243"/>
        <v>67.2</v>
      </c>
      <c r="AV140" s="948">
        <f t="shared" si="244"/>
        <v>65.024000000000001</v>
      </c>
      <c r="AW140" s="948">
        <f t="shared" si="245"/>
        <v>65.024000000000001</v>
      </c>
      <c r="AX140" s="948">
        <f t="shared" si="246"/>
        <v>67.2</v>
      </c>
      <c r="AY140" s="948">
        <f t="shared" si="247"/>
        <v>67.2</v>
      </c>
      <c r="AZ140" s="948">
        <f t="shared" si="248"/>
        <v>961.60399999999993</v>
      </c>
      <c r="BA140" s="948">
        <f t="shared" si="249"/>
        <v>0</v>
      </c>
      <c r="BB140" s="948">
        <f t="shared" si="250"/>
        <v>0</v>
      </c>
      <c r="BC140" s="957">
        <f t="shared" si="251"/>
        <v>1.5786666666666667</v>
      </c>
      <c r="BD140" s="957">
        <f t="shared" si="251"/>
        <v>1.5786666666666667</v>
      </c>
      <c r="BE140" s="957">
        <f t="shared" si="251"/>
        <v>1.5786666666666667</v>
      </c>
      <c r="BF140" s="957">
        <f t="shared" si="251"/>
        <v>1.5786666666666667</v>
      </c>
      <c r="BG140" s="957">
        <f t="shared" si="251"/>
        <v>1.5786666666666667</v>
      </c>
      <c r="BH140" s="957">
        <f t="shared" si="251"/>
        <v>1.5786666666666667</v>
      </c>
      <c r="BI140" s="957">
        <f t="shared" si="251"/>
        <v>0.39466666666666667</v>
      </c>
      <c r="BJ140" s="957">
        <f t="shared" si="251"/>
        <v>0</v>
      </c>
      <c r="BK140" s="957">
        <f t="shared" si="251"/>
        <v>0</v>
      </c>
      <c r="BL140" s="948">
        <f t="shared" si="252"/>
        <v>106.0864</v>
      </c>
      <c r="BM140" s="948">
        <f t="shared" si="252"/>
        <v>106.0864</v>
      </c>
      <c r="BN140" s="948">
        <f t="shared" si="252"/>
        <v>102.65122133333334</v>
      </c>
      <c r="BO140" s="948">
        <f t="shared" si="252"/>
        <v>102.65122133333334</v>
      </c>
      <c r="BP140" s="948">
        <f t="shared" si="252"/>
        <v>106.0864</v>
      </c>
      <c r="BQ140" s="948">
        <f t="shared" si="252"/>
        <v>106.0864</v>
      </c>
      <c r="BR140" s="948">
        <f t="shared" si="252"/>
        <v>379.51304533333331</v>
      </c>
      <c r="BS140" s="948">
        <f t="shared" si="253"/>
        <v>0</v>
      </c>
      <c r="BT140" s="955">
        <f t="shared" si="254"/>
        <v>99.170704402515724</v>
      </c>
    </row>
    <row r="141" spans="1:72">
      <c r="A141" s="952">
        <v>3</v>
      </c>
      <c r="B141" s="952" t="s">
        <v>1109</v>
      </c>
      <c r="C141" s="950" t="s">
        <v>1110</v>
      </c>
      <c r="D141" s="950">
        <v>1</v>
      </c>
      <c r="E141" s="950">
        <v>1</v>
      </c>
      <c r="F141" s="948">
        <f>182-48.8</f>
        <v>133.19999999999999</v>
      </c>
      <c r="G141" s="948">
        <v>0.25</v>
      </c>
      <c r="H141" s="948">
        <v>0.6</v>
      </c>
      <c r="I141" s="948">
        <v>0.12</v>
      </c>
      <c r="J141" s="948">
        <f t="shared" si="228"/>
        <v>0.48</v>
      </c>
      <c r="K141" s="948">
        <f>F141*G141*J141*D141*E141</f>
        <v>15.983999999999998</v>
      </c>
      <c r="L141" s="948">
        <f t="shared" si="255"/>
        <v>127.87199999999999</v>
      </c>
      <c r="M141" s="952"/>
      <c r="N141" s="950">
        <v>16</v>
      </c>
      <c r="O141" s="950">
        <v>16</v>
      </c>
      <c r="P141" s="950">
        <v>16</v>
      </c>
      <c r="Q141" s="950">
        <v>16</v>
      </c>
      <c r="R141" s="950">
        <v>16</v>
      </c>
      <c r="S141" s="950">
        <v>16</v>
      </c>
      <c r="T141" s="950">
        <v>8</v>
      </c>
      <c r="U141" s="950"/>
      <c r="V141" s="950"/>
      <c r="W141" s="950">
        <v>200</v>
      </c>
      <c r="X141" s="950">
        <v>100</v>
      </c>
      <c r="Y141" s="950">
        <v>100</v>
      </c>
      <c r="Z141" s="950">
        <v>10</v>
      </c>
      <c r="AA141" s="950">
        <v>10</v>
      </c>
      <c r="AB141" s="950">
        <v>10</v>
      </c>
      <c r="AC141" s="950">
        <v>10</v>
      </c>
      <c r="AD141" s="950">
        <v>10</v>
      </c>
      <c r="AE141" s="950">
        <v>10</v>
      </c>
      <c r="AF141" s="955">
        <f t="shared" si="230"/>
        <v>167.49999999999997</v>
      </c>
      <c r="AG141" s="955">
        <f t="shared" si="231"/>
        <v>666.99999999999989</v>
      </c>
      <c r="AH141" s="955">
        <f t="shared" si="232"/>
        <v>333.99999999999994</v>
      </c>
      <c r="AI141" s="955">
        <v>0</v>
      </c>
      <c r="AJ141" s="955">
        <v>0</v>
      </c>
      <c r="AK141" s="948">
        <f t="shared" si="233"/>
        <v>34.099999999999994</v>
      </c>
      <c r="AL141" s="948">
        <f t="shared" si="234"/>
        <v>34.099999999999994</v>
      </c>
      <c r="AM141" s="948">
        <f t="shared" si="235"/>
        <v>67.111999999999981</v>
      </c>
      <c r="AN141" s="948">
        <f t="shared" si="236"/>
        <v>67.111999999999981</v>
      </c>
      <c r="AO141" s="948">
        <f t="shared" si="237"/>
        <v>34.099999999999994</v>
      </c>
      <c r="AP141" s="948">
        <f t="shared" si="238"/>
        <v>34.099999999999994</v>
      </c>
      <c r="AQ141" s="948">
        <f t="shared" si="239"/>
        <v>1.508</v>
      </c>
      <c r="AR141" s="948">
        <f t="shared" si="240"/>
        <v>0</v>
      </c>
      <c r="AS141" s="948">
        <f t="shared" si="241"/>
        <v>0</v>
      </c>
      <c r="AT141" s="948">
        <f t="shared" si="242"/>
        <v>340.99999999999994</v>
      </c>
      <c r="AU141" s="948">
        <f t="shared" si="243"/>
        <v>340.99999999999994</v>
      </c>
      <c r="AV141" s="948">
        <f t="shared" si="244"/>
        <v>671.11999999999978</v>
      </c>
      <c r="AW141" s="948">
        <f t="shared" si="245"/>
        <v>671.11999999999978</v>
      </c>
      <c r="AX141" s="948">
        <f t="shared" si="246"/>
        <v>340.99999999999994</v>
      </c>
      <c r="AY141" s="948">
        <f t="shared" si="247"/>
        <v>340.99999999999994</v>
      </c>
      <c r="AZ141" s="948">
        <f t="shared" si="248"/>
        <v>1762.0979999999997</v>
      </c>
      <c r="BA141" s="948">
        <f t="shared" si="249"/>
        <v>0</v>
      </c>
      <c r="BB141" s="948">
        <f t="shared" si="250"/>
        <v>0</v>
      </c>
      <c r="BC141" s="957">
        <f t="shared" si="251"/>
        <v>1.5786666666666667</v>
      </c>
      <c r="BD141" s="957">
        <f t="shared" si="251"/>
        <v>1.5786666666666667</v>
      </c>
      <c r="BE141" s="957">
        <f t="shared" si="251"/>
        <v>1.5786666666666667</v>
      </c>
      <c r="BF141" s="957">
        <f t="shared" si="251"/>
        <v>1.5786666666666667</v>
      </c>
      <c r="BG141" s="957">
        <f t="shared" si="251"/>
        <v>1.5786666666666667</v>
      </c>
      <c r="BH141" s="957">
        <f t="shared" si="251"/>
        <v>1.5786666666666667</v>
      </c>
      <c r="BI141" s="957">
        <f t="shared" si="251"/>
        <v>0.39466666666666667</v>
      </c>
      <c r="BJ141" s="957">
        <f t="shared" si="251"/>
        <v>0</v>
      </c>
      <c r="BK141" s="957">
        <f t="shared" si="251"/>
        <v>0</v>
      </c>
      <c r="BL141" s="948">
        <f t="shared" si="252"/>
        <v>538.32533333333322</v>
      </c>
      <c r="BM141" s="948">
        <f t="shared" si="252"/>
        <v>538.32533333333322</v>
      </c>
      <c r="BN141" s="948">
        <f t="shared" si="252"/>
        <v>1059.4747733333329</v>
      </c>
      <c r="BO141" s="948">
        <f t="shared" si="252"/>
        <v>1059.4747733333329</v>
      </c>
      <c r="BP141" s="948">
        <f t="shared" si="252"/>
        <v>538.32533333333322</v>
      </c>
      <c r="BQ141" s="948">
        <f t="shared" si="252"/>
        <v>538.32533333333322</v>
      </c>
      <c r="BR141" s="948">
        <f t="shared" si="252"/>
        <v>695.44134399999984</v>
      </c>
      <c r="BS141" s="948">
        <f t="shared" si="253"/>
        <v>0</v>
      </c>
      <c r="BT141" s="955">
        <f t="shared" si="254"/>
        <v>310.79155555555548</v>
      </c>
    </row>
    <row r="142" spans="1:72">
      <c r="A142" s="952">
        <v>4</v>
      </c>
      <c r="B142" s="952" t="s">
        <v>1148</v>
      </c>
      <c r="C142" s="950" t="s">
        <v>1112</v>
      </c>
      <c r="D142" s="950">
        <v>1</v>
      </c>
      <c r="E142" s="950">
        <v>1</v>
      </c>
      <c r="F142" s="948">
        <v>21</v>
      </c>
      <c r="G142" s="948">
        <v>0.25</v>
      </c>
      <c r="H142" s="948">
        <v>0.6</v>
      </c>
      <c r="I142" s="948">
        <v>0.12</v>
      </c>
      <c r="J142" s="948">
        <f t="shared" si="228"/>
        <v>0.48</v>
      </c>
      <c r="K142" s="948">
        <f>F142*G142*J142*D142*E142</f>
        <v>2.52</v>
      </c>
      <c r="L142" s="948">
        <f t="shared" si="255"/>
        <v>20.16</v>
      </c>
      <c r="M142" s="952"/>
      <c r="N142" s="950">
        <v>19</v>
      </c>
      <c r="O142" s="950">
        <v>19</v>
      </c>
      <c r="P142" s="950">
        <v>19</v>
      </c>
      <c r="Q142" s="950">
        <v>19</v>
      </c>
      <c r="R142" s="950">
        <v>19</v>
      </c>
      <c r="S142" s="950">
        <v>19</v>
      </c>
      <c r="T142" s="950">
        <v>8</v>
      </c>
      <c r="U142" s="950"/>
      <c r="V142" s="950"/>
      <c r="W142" s="950">
        <v>200</v>
      </c>
      <c r="X142" s="950">
        <v>100</v>
      </c>
      <c r="Y142" s="950">
        <v>100</v>
      </c>
      <c r="Z142" s="950">
        <v>9</v>
      </c>
      <c r="AA142" s="950">
        <v>6</v>
      </c>
      <c r="AB142" s="950">
        <v>8</v>
      </c>
      <c r="AC142" s="950">
        <v>8</v>
      </c>
      <c r="AD142" s="950">
        <v>9</v>
      </c>
      <c r="AE142" s="950">
        <v>6</v>
      </c>
      <c r="AF142" s="955">
        <f t="shared" si="230"/>
        <v>27.25</v>
      </c>
      <c r="AG142" s="955">
        <f t="shared" si="231"/>
        <v>106</v>
      </c>
      <c r="AH142" s="955">
        <f t="shared" si="232"/>
        <v>53.5</v>
      </c>
      <c r="AI142" s="955">
        <v>0</v>
      </c>
      <c r="AJ142" s="955">
        <v>0</v>
      </c>
      <c r="AK142" s="948">
        <f t="shared" si="233"/>
        <v>6.2</v>
      </c>
      <c r="AL142" s="948">
        <f t="shared" si="234"/>
        <v>6.2</v>
      </c>
      <c r="AM142" s="948">
        <f t="shared" si="235"/>
        <v>11.108000000000001</v>
      </c>
      <c r="AN142" s="948">
        <f t="shared" si="236"/>
        <v>11.108000000000001</v>
      </c>
      <c r="AO142" s="948">
        <f t="shared" si="237"/>
        <v>6.2</v>
      </c>
      <c r="AP142" s="948">
        <f t="shared" si="238"/>
        <v>6.2</v>
      </c>
      <c r="AQ142" s="948">
        <f t="shared" si="239"/>
        <v>1.508</v>
      </c>
      <c r="AR142" s="948">
        <f t="shared" si="240"/>
        <v>0</v>
      </c>
      <c r="AS142" s="948">
        <f t="shared" si="241"/>
        <v>0</v>
      </c>
      <c r="AT142" s="948">
        <f t="shared" si="242"/>
        <v>55.800000000000004</v>
      </c>
      <c r="AU142" s="948">
        <f t="shared" si="243"/>
        <v>37.200000000000003</v>
      </c>
      <c r="AV142" s="948">
        <f t="shared" si="244"/>
        <v>88.864000000000004</v>
      </c>
      <c r="AW142" s="948">
        <f t="shared" si="245"/>
        <v>88.864000000000004</v>
      </c>
      <c r="AX142" s="948">
        <f t="shared" si="246"/>
        <v>55.800000000000004</v>
      </c>
      <c r="AY142" s="948">
        <f t="shared" si="247"/>
        <v>37.200000000000003</v>
      </c>
      <c r="AZ142" s="948">
        <f t="shared" si="248"/>
        <v>281.61900000000003</v>
      </c>
      <c r="BA142" s="948">
        <f t="shared" si="249"/>
        <v>0</v>
      </c>
      <c r="BB142" s="948">
        <f t="shared" si="250"/>
        <v>0</v>
      </c>
      <c r="BC142" s="957">
        <f t="shared" si="251"/>
        <v>2.2261666666666664</v>
      </c>
      <c r="BD142" s="957">
        <f t="shared" si="251"/>
        <v>2.2261666666666664</v>
      </c>
      <c r="BE142" s="957">
        <f t="shared" si="251"/>
        <v>2.2261666666666664</v>
      </c>
      <c r="BF142" s="957">
        <f t="shared" si="251"/>
        <v>2.2261666666666664</v>
      </c>
      <c r="BG142" s="957">
        <f t="shared" si="251"/>
        <v>2.2261666666666664</v>
      </c>
      <c r="BH142" s="957">
        <f t="shared" si="251"/>
        <v>2.2261666666666664</v>
      </c>
      <c r="BI142" s="957">
        <f t="shared" si="251"/>
        <v>0.39466666666666667</v>
      </c>
      <c r="BJ142" s="957">
        <f t="shared" si="251"/>
        <v>0</v>
      </c>
      <c r="BK142" s="957">
        <f t="shared" si="251"/>
        <v>0</v>
      </c>
      <c r="BL142" s="948">
        <f t="shared" si="252"/>
        <v>124.22009999999999</v>
      </c>
      <c r="BM142" s="948">
        <f t="shared" si="252"/>
        <v>82.813400000000001</v>
      </c>
      <c r="BN142" s="948">
        <f t="shared" si="252"/>
        <v>197.82607466666664</v>
      </c>
      <c r="BO142" s="948">
        <f t="shared" si="252"/>
        <v>197.82607466666664</v>
      </c>
      <c r="BP142" s="948">
        <f t="shared" si="252"/>
        <v>124.22009999999999</v>
      </c>
      <c r="BQ142" s="948">
        <f t="shared" si="252"/>
        <v>82.813400000000001</v>
      </c>
      <c r="BR142" s="948">
        <f t="shared" si="252"/>
        <v>111.14563200000001</v>
      </c>
      <c r="BS142" s="948">
        <f t="shared" si="253"/>
        <v>0</v>
      </c>
      <c r="BT142" s="955">
        <f t="shared" si="254"/>
        <v>365.4225322751322</v>
      </c>
    </row>
    <row r="143" spans="1:72">
      <c r="A143" s="952">
        <v>5</v>
      </c>
      <c r="B143" s="952" t="s">
        <v>1149</v>
      </c>
      <c r="C143" s="950" t="s">
        <v>1118</v>
      </c>
      <c r="D143" s="950">
        <v>1</v>
      </c>
      <c r="E143" s="950">
        <v>1</v>
      </c>
      <c r="F143" s="948">
        <v>60</v>
      </c>
      <c r="G143" s="948">
        <v>0.25</v>
      </c>
      <c r="H143" s="948">
        <v>0.6</v>
      </c>
      <c r="I143" s="948">
        <v>0.12</v>
      </c>
      <c r="J143" s="948">
        <f t="shared" si="228"/>
        <v>0.48</v>
      </c>
      <c r="K143" s="948">
        <f t="shared" ref="K143:K147" si="256">F143*G143*J143*D143*E143</f>
        <v>7.1999999999999993</v>
      </c>
      <c r="L143" s="948">
        <f t="shared" si="255"/>
        <v>57.599999999999994</v>
      </c>
      <c r="M143" s="952"/>
      <c r="N143" s="950">
        <v>16</v>
      </c>
      <c r="O143" s="950">
        <f>O141</f>
        <v>16</v>
      </c>
      <c r="P143" s="950">
        <f>P141</f>
        <v>16</v>
      </c>
      <c r="Q143" s="950">
        <f>Q141</f>
        <v>16</v>
      </c>
      <c r="R143" s="950">
        <f>R141</f>
        <v>16</v>
      </c>
      <c r="S143" s="950">
        <f>S141</f>
        <v>16</v>
      </c>
      <c r="T143" s="950">
        <v>8</v>
      </c>
      <c r="U143" s="950"/>
      <c r="V143" s="950"/>
      <c r="W143" s="950">
        <v>200</v>
      </c>
      <c r="X143" s="950">
        <v>100</v>
      </c>
      <c r="Y143" s="950">
        <f>X143</f>
        <v>100</v>
      </c>
      <c r="Z143" s="950">
        <v>9</v>
      </c>
      <c r="AA143" s="950">
        <v>6</v>
      </c>
      <c r="AB143" s="950">
        <v>16</v>
      </c>
      <c r="AC143" s="950">
        <v>16</v>
      </c>
      <c r="AD143" s="950">
        <v>9</v>
      </c>
      <c r="AE143" s="950">
        <v>6</v>
      </c>
      <c r="AF143" s="955">
        <f t="shared" si="230"/>
        <v>76</v>
      </c>
      <c r="AG143" s="955">
        <f t="shared" si="231"/>
        <v>301</v>
      </c>
      <c r="AH143" s="955">
        <f t="shared" si="232"/>
        <v>151</v>
      </c>
      <c r="AI143" s="955">
        <v>0</v>
      </c>
      <c r="AJ143" s="955">
        <v>0</v>
      </c>
      <c r="AK143" s="948">
        <f t="shared" si="233"/>
        <v>15.8</v>
      </c>
      <c r="AL143" s="948">
        <f t="shared" si="234"/>
        <v>15.8</v>
      </c>
      <c r="AM143" s="948">
        <f t="shared" si="235"/>
        <v>30.512</v>
      </c>
      <c r="AN143" s="948">
        <f t="shared" si="236"/>
        <v>30.512</v>
      </c>
      <c r="AO143" s="948">
        <f t="shared" si="237"/>
        <v>15.8</v>
      </c>
      <c r="AP143" s="948">
        <f t="shared" si="238"/>
        <v>15.8</v>
      </c>
      <c r="AQ143" s="948">
        <f t="shared" si="239"/>
        <v>1.508</v>
      </c>
      <c r="AR143" s="948">
        <f t="shared" si="240"/>
        <v>0</v>
      </c>
      <c r="AS143" s="948">
        <f t="shared" si="241"/>
        <v>0</v>
      </c>
      <c r="AT143" s="948">
        <f t="shared" si="242"/>
        <v>142.20000000000002</v>
      </c>
      <c r="AU143" s="948">
        <f t="shared" si="243"/>
        <v>94.800000000000011</v>
      </c>
      <c r="AV143" s="948">
        <f t="shared" si="244"/>
        <v>488.19200000000001</v>
      </c>
      <c r="AW143" s="948">
        <f t="shared" si="245"/>
        <v>488.19200000000001</v>
      </c>
      <c r="AX143" s="948">
        <f t="shared" si="246"/>
        <v>142.20000000000002</v>
      </c>
      <c r="AY143" s="948">
        <f t="shared" si="247"/>
        <v>94.800000000000011</v>
      </c>
      <c r="AZ143" s="948">
        <f t="shared" si="248"/>
        <v>796.22400000000005</v>
      </c>
      <c r="BA143" s="948">
        <f t="shared" si="249"/>
        <v>0</v>
      </c>
      <c r="BB143" s="948">
        <f t="shared" si="250"/>
        <v>0</v>
      </c>
      <c r="BC143" s="957">
        <f t="shared" si="251"/>
        <v>1.5786666666666667</v>
      </c>
      <c r="BD143" s="957">
        <f t="shared" si="251"/>
        <v>1.5786666666666667</v>
      </c>
      <c r="BE143" s="957">
        <f t="shared" si="251"/>
        <v>1.5786666666666667</v>
      </c>
      <c r="BF143" s="957">
        <f t="shared" si="251"/>
        <v>1.5786666666666667</v>
      </c>
      <c r="BG143" s="957">
        <f t="shared" si="251"/>
        <v>1.5786666666666667</v>
      </c>
      <c r="BH143" s="957">
        <f t="shared" si="251"/>
        <v>1.5786666666666667</v>
      </c>
      <c r="BI143" s="957">
        <f t="shared" si="251"/>
        <v>0.39466666666666667</v>
      </c>
      <c r="BJ143" s="957">
        <f t="shared" si="251"/>
        <v>0</v>
      </c>
      <c r="BK143" s="957">
        <f t="shared" si="251"/>
        <v>0</v>
      </c>
      <c r="BL143" s="948">
        <f t="shared" si="252"/>
        <v>224.48640000000003</v>
      </c>
      <c r="BM143" s="948">
        <f t="shared" si="252"/>
        <v>149.65760000000003</v>
      </c>
      <c r="BN143" s="948">
        <f t="shared" si="252"/>
        <v>770.69243733333337</v>
      </c>
      <c r="BO143" s="948">
        <f t="shared" si="252"/>
        <v>770.69243733333337</v>
      </c>
      <c r="BP143" s="948">
        <f t="shared" si="252"/>
        <v>224.48640000000003</v>
      </c>
      <c r="BQ143" s="948">
        <f t="shared" si="252"/>
        <v>149.65760000000003</v>
      </c>
      <c r="BR143" s="948">
        <f>AZ143*BI143</f>
        <v>314.24307200000004</v>
      </c>
      <c r="BS143" s="948">
        <f t="shared" si="253"/>
        <v>0</v>
      </c>
      <c r="BT143" s="955">
        <f t="shared" si="254"/>
        <v>361.65499259259269</v>
      </c>
    </row>
    <row r="144" spans="1:72">
      <c r="A144" s="952">
        <v>6</v>
      </c>
      <c r="B144" s="952" t="s">
        <v>1150</v>
      </c>
      <c r="C144" s="950" t="s">
        <v>1151</v>
      </c>
      <c r="D144" s="950">
        <v>1</v>
      </c>
      <c r="E144" s="950">
        <v>1</v>
      </c>
      <c r="F144" s="948">
        <v>8.4</v>
      </c>
      <c r="G144" s="948">
        <v>0.25</v>
      </c>
      <c r="H144" s="948">
        <v>0.6</v>
      </c>
      <c r="I144" s="948">
        <v>0.12</v>
      </c>
      <c r="J144" s="948">
        <f t="shared" si="228"/>
        <v>0.48</v>
      </c>
      <c r="K144" s="948">
        <f t="shared" si="256"/>
        <v>1.008</v>
      </c>
      <c r="L144" s="948">
        <f t="shared" si="255"/>
        <v>8.0640000000000001</v>
      </c>
      <c r="M144" s="952"/>
      <c r="N144" s="950">
        <v>16</v>
      </c>
      <c r="O144" s="950">
        <v>16</v>
      </c>
      <c r="P144" s="950">
        <v>16</v>
      </c>
      <c r="Q144" s="950">
        <v>16</v>
      </c>
      <c r="R144" s="950">
        <v>16</v>
      </c>
      <c r="S144" s="950">
        <v>16</v>
      </c>
      <c r="T144" s="950">
        <v>8</v>
      </c>
      <c r="U144" s="950"/>
      <c r="V144" s="950"/>
      <c r="W144" s="950">
        <v>200</v>
      </c>
      <c r="X144" s="950">
        <v>100</v>
      </c>
      <c r="Y144" s="950">
        <v>100</v>
      </c>
      <c r="Z144" s="950">
        <v>4</v>
      </c>
      <c r="AA144" s="950">
        <v>4</v>
      </c>
      <c r="AB144" s="950">
        <v>2</v>
      </c>
      <c r="AC144" s="950">
        <v>2</v>
      </c>
      <c r="AD144" s="950">
        <v>4</v>
      </c>
      <c r="AE144" s="950">
        <v>4</v>
      </c>
      <c r="AF144" s="955">
        <f t="shared" si="230"/>
        <v>11.5</v>
      </c>
      <c r="AG144" s="955">
        <f t="shared" si="231"/>
        <v>43</v>
      </c>
      <c r="AH144" s="955">
        <f t="shared" si="232"/>
        <v>22</v>
      </c>
      <c r="AI144" s="955">
        <v>0</v>
      </c>
      <c r="AJ144" s="955">
        <v>0</v>
      </c>
      <c r="AK144" s="948">
        <f t="shared" si="233"/>
        <v>2.9000000000000004</v>
      </c>
      <c r="AL144" s="948">
        <f t="shared" si="234"/>
        <v>2.9000000000000004</v>
      </c>
      <c r="AM144" s="948">
        <f t="shared" si="235"/>
        <v>4.7120000000000006</v>
      </c>
      <c r="AN144" s="948">
        <f t="shared" si="236"/>
        <v>4.7120000000000006</v>
      </c>
      <c r="AO144" s="948">
        <f t="shared" si="237"/>
        <v>2.9000000000000004</v>
      </c>
      <c r="AP144" s="948">
        <f t="shared" si="238"/>
        <v>2.9000000000000004</v>
      </c>
      <c r="AQ144" s="948">
        <f t="shared" si="239"/>
        <v>1.508</v>
      </c>
      <c r="AR144" s="948">
        <f t="shared" si="240"/>
        <v>0</v>
      </c>
      <c r="AS144" s="948">
        <f t="shared" si="241"/>
        <v>0</v>
      </c>
      <c r="AT144" s="948">
        <f t="shared" si="242"/>
        <v>11.600000000000001</v>
      </c>
      <c r="AU144" s="948">
        <f t="shared" si="243"/>
        <v>11.600000000000001</v>
      </c>
      <c r="AV144" s="948">
        <f t="shared" si="244"/>
        <v>9.4240000000000013</v>
      </c>
      <c r="AW144" s="948">
        <f t="shared" si="245"/>
        <v>9.4240000000000013</v>
      </c>
      <c r="AX144" s="948">
        <f t="shared" si="246"/>
        <v>11.600000000000001</v>
      </c>
      <c r="AY144" s="948">
        <f t="shared" si="247"/>
        <v>11.600000000000001</v>
      </c>
      <c r="AZ144" s="948">
        <f t="shared" si="248"/>
        <v>115.36199999999999</v>
      </c>
      <c r="BA144" s="948">
        <f t="shared" si="249"/>
        <v>0</v>
      </c>
      <c r="BB144" s="948">
        <f t="shared" si="250"/>
        <v>0</v>
      </c>
      <c r="BC144" s="957">
        <f t="shared" si="251"/>
        <v>1.5786666666666667</v>
      </c>
      <c r="BD144" s="957">
        <f t="shared" si="251"/>
        <v>1.5786666666666667</v>
      </c>
      <c r="BE144" s="957">
        <f t="shared" si="251"/>
        <v>1.5786666666666667</v>
      </c>
      <c r="BF144" s="957">
        <f t="shared" si="251"/>
        <v>1.5786666666666667</v>
      </c>
      <c r="BG144" s="957">
        <f t="shared" si="251"/>
        <v>1.5786666666666667</v>
      </c>
      <c r="BH144" s="957">
        <f t="shared" si="251"/>
        <v>1.5786666666666667</v>
      </c>
      <c r="BI144" s="957">
        <f t="shared" si="251"/>
        <v>0.39466666666666667</v>
      </c>
      <c r="BJ144" s="957">
        <f t="shared" si="251"/>
        <v>0</v>
      </c>
      <c r="BK144" s="957">
        <f t="shared" si="251"/>
        <v>0</v>
      </c>
      <c r="BL144" s="948">
        <f t="shared" si="252"/>
        <v>18.312533333333334</v>
      </c>
      <c r="BM144" s="948">
        <f t="shared" si="252"/>
        <v>18.312533333333334</v>
      </c>
      <c r="BN144" s="948">
        <f t="shared" si="252"/>
        <v>14.877354666666669</v>
      </c>
      <c r="BO144" s="948">
        <f t="shared" si="252"/>
        <v>14.877354666666669</v>
      </c>
      <c r="BP144" s="948">
        <f t="shared" si="252"/>
        <v>18.312533333333334</v>
      </c>
      <c r="BQ144" s="948">
        <f t="shared" si="252"/>
        <v>18.312533333333334</v>
      </c>
      <c r="BR144" s="948">
        <f t="shared" si="252"/>
        <v>45.529536</v>
      </c>
      <c r="BS144" s="948">
        <f t="shared" si="253"/>
        <v>0</v>
      </c>
      <c r="BT144" s="955">
        <f t="shared" si="254"/>
        <v>147.35553439153441</v>
      </c>
    </row>
    <row r="145" spans="1:72">
      <c r="A145" s="952">
        <v>7</v>
      </c>
      <c r="B145" s="952" t="s">
        <v>1144</v>
      </c>
      <c r="C145" s="950" t="s">
        <v>1125</v>
      </c>
      <c r="D145" s="950">
        <v>1</v>
      </c>
      <c r="E145" s="950">
        <v>1</v>
      </c>
      <c r="F145" s="948">
        <v>8</v>
      </c>
      <c r="G145" s="948">
        <v>0.3</v>
      </c>
      <c r="H145" s="948">
        <v>0.65</v>
      </c>
      <c r="I145" s="948">
        <v>0.12</v>
      </c>
      <c r="J145" s="948">
        <f t="shared" si="228"/>
        <v>0.53</v>
      </c>
      <c r="K145" s="948">
        <f t="shared" si="256"/>
        <v>1.272</v>
      </c>
      <c r="L145" s="948">
        <f t="shared" si="255"/>
        <v>8.48</v>
      </c>
      <c r="M145" s="952"/>
      <c r="N145" s="950">
        <f t="shared" ref="N145:S146" si="257">N143</f>
        <v>16</v>
      </c>
      <c r="O145" s="950">
        <f t="shared" si="257"/>
        <v>16</v>
      </c>
      <c r="P145" s="950">
        <f t="shared" si="257"/>
        <v>16</v>
      </c>
      <c r="Q145" s="950">
        <f t="shared" si="257"/>
        <v>16</v>
      </c>
      <c r="R145" s="950">
        <f t="shared" si="257"/>
        <v>16</v>
      </c>
      <c r="S145" s="950">
        <f t="shared" si="257"/>
        <v>16</v>
      </c>
      <c r="T145" s="950">
        <v>8</v>
      </c>
      <c r="U145" s="950"/>
      <c r="V145" s="950"/>
      <c r="W145" s="950">
        <v>200</v>
      </c>
      <c r="X145" s="950">
        <v>100</v>
      </c>
      <c r="Y145" s="950">
        <f>Y143</f>
        <v>100</v>
      </c>
      <c r="Z145" s="950">
        <v>4</v>
      </c>
      <c r="AA145" s="950">
        <v>4</v>
      </c>
      <c r="AB145" s="950">
        <v>2</v>
      </c>
      <c r="AC145" s="950">
        <v>2</v>
      </c>
      <c r="AD145" s="950">
        <v>4</v>
      </c>
      <c r="AE145" s="950">
        <v>4</v>
      </c>
      <c r="AF145" s="955">
        <f t="shared" si="230"/>
        <v>11</v>
      </c>
      <c r="AG145" s="955">
        <f t="shared" si="231"/>
        <v>41</v>
      </c>
      <c r="AH145" s="955">
        <f t="shared" si="232"/>
        <v>21</v>
      </c>
      <c r="AI145" s="955">
        <v>0</v>
      </c>
      <c r="AJ145" s="955">
        <v>0</v>
      </c>
      <c r="AK145" s="948">
        <f t="shared" si="233"/>
        <v>2.8000000000000003</v>
      </c>
      <c r="AL145" s="948">
        <f t="shared" si="234"/>
        <v>2.8000000000000003</v>
      </c>
      <c r="AM145" s="948">
        <f t="shared" si="235"/>
        <v>4.5120000000000005</v>
      </c>
      <c r="AN145" s="948">
        <f t="shared" si="236"/>
        <v>4.5120000000000005</v>
      </c>
      <c r="AO145" s="948">
        <f t="shared" si="237"/>
        <v>2.8000000000000003</v>
      </c>
      <c r="AP145" s="948">
        <f t="shared" si="238"/>
        <v>2.8000000000000003</v>
      </c>
      <c r="AQ145" s="948">
        <f t="shared" si="239"/>
        <v>1.708</v>
      </c>
      <c r="AR145" s="948">
        <f t="shared" si="240"/>
        <v>0</v>
      </c>
      <c r="AS145" s="948">
        <f t="shared" si="241"/>
        <v>0</v>
      </c>
      <c r="AT145" s="948">
        <f t="shared" si="242"/>
        <v>11.200000000000001</v>
      </c>
      <c r="AU145" s="948">
        <f t="shared" si="243"/>
        <v>11.200000000000001</v>
      </c>
      <c r="AV145" s="948">
        <f t="shared" si="244"/>
        <v>9.0240000000000009</v>
      </c>
      <c r="AW145" s="948">
        <f t="shared" si="245"/>
        <v>9.0240000000000009</v>
      </c>
      <c r="AX145" s="948">
        <f t="shared" si="246"/>
        <v>11.200000000000001</v>
      </c>
      <c r="AY145" s="948">
        <f t="shared" si="247"/>
        <v>11.200000000000001</v>
      </c>
      <c r="AZ145" s="948">
        <f t="shared" si="248"/>
        <v>124.684</v>
      </c>
      <c r="BA145" s="948">
        <f t="shared" si="249"/>
        <v>0</v>
      </c>
      <c r="BB145" s="948">
        <f t="shared" si="250"/>
        <v>0</v>
      </c>
      <c r="BC145" s="957">
        <f t="shared" si="251"/>
        <v>1.5786666666666667</v>
      </c>
      <c r="BD145" s="957">
        <f t="shared" si="251"/>
        <v>1.5786666666666667</v>
      </c>
      <c r="BE145" s="957">
        <f t="shared" si="251"/>
        <v>1.5786666666666667</v>
      </c>
      <c r="BF145" s="957">
        <f t="shared" si="251"/>
        <v>1.5786666666666667</v>
      </c>
      <c r="BG145" s="957">
        <f t="shared" si="251"/>
        <v>1.5786666666666667</v>
      </c>
      <c r="BH145" s="957">
        <f t="shared" si="251"/>
        <v>1.5786666666666667</v>
      </c>
      <c r="BI145" s="957">
        <f t="shared" si="251"/>
        <v>0.39466666666666667</v>
      </c>
      <c r="BJ145" s="957">
        <f t="shared" si="251"/>
        <v>0</v>
      </c>
      <c r="BK145" s="957">
        <f t="shared" si="251"/>
        <v>0</v>
      </c>
      <c r="BL145" s="948">
        <f t="shared" si="252"/>
        <v>17.68106666666667</v>
      </c>
      <c r="BM145" s="948">
        <f t="shared" si="252"/>
        <v>17.68106666666667</v>
      </c>
      <c r="BN145" s="948">
        <f t="shared" si="252"/>
        <v>14.245888000000001</v>
      </c>
      <c r="BO145" s="948">
        <f t="shared" si="252"/>
        <v>14.245888000000001</v>
      </c>
      <c r="BP145" s="948">
        <f t="shared" si="252"/>
        <v>17.68106666666667</v>
      </c>
      <c r="BQ145" s="948">
        <f t="shared" si="252"/>
        <v>17.68106666666667</v>
      </c>
      <c r="BR145" s="948">
        <f t="shared" si="252"/>
        <v>49.208618666666666</v>
      </c>
      <c r="BS145" s="948">
        <f t="shared" si="253"/>
        <v>0</v>
      </c>
      <c r="BT145" s="955">
        <f t="shared" si="254"/>
        <v>116.68605450733753</v>
      </c>
    </row>
    <row r="146" spans="1:72">
      <c r="A146" s="952">
        <v>8</v>
      </c>
      <c r="B146" s="952" t="s">
        <v>1126</v>
      </c>
      <c r="C146" s="950" t="s">
        <v>1127</v>
      </c>
      <c r="D146" s="950">
        <v>1</v>
      </c>
      <c r="E146" s="950">
        <v>1</v>
      </c>
      <c r="F146" s="948">
        <v>16</v>
      </c>
      <c r="G146" s="948">
        <v>0.3</v>
      </c>
      <c r="H146" s="948">
        <v>0.65</v>
      </c>
      <c r="I146" s="948">
        <v>0.12</v>
      </c>
      <c r="J146" s="948">
        <f t="shared" si="228"/>
        <v>0.53</v>
      </c>
      <c r="K146" s="948">
        <f t="shared" si="256"/>
        <v>2.544</v>
      </c>
      <c r="L146" s="948">
        <f t="shared" si="255"/>
        <v>16.96</v>
      </c>
      <c r="M146" s="952"/>
      <c r="N146" s="950">
        <f t="shared" si="257"/>
        <v>16</v>
      </c>
      <c r="O146" s="950">
        <f t="shared" si="257"/>
        <v>16</v>
      </c>
      <c r="P146" s="950">
        <f t="shared" si="257"/>
        <v>16</v>
      </c>
      <c r="Q146" s="950">
        <f t="shared" si="257"/>
        <v>16</v>
      </c>
      <c r="R146" s="950">
        <f t="shared" si="257"/>
        <v>16</v>
      </c>
      <c r="S146" s="950">
        <f t="shared" si="257"/>
        <v>16</v>
      </c>
      <c r="T146" s="950">
        <v>8</v>
      </c>
      <c r="U146" s="950"/>
      <c r="V146" s="950"/>
      <c r="W146" s="950">
        <v>200</v>
      </c>
      <c r="X146" s="950">
        <v>100</v>
      </c>
      <c r="Y146" s="950">
        <f>Y144</f>
        <v>100</v>
      </c>
      <c r="Z146" s="950">
        <v>4</v>
      </c>
      <c r="AA146" s="950">
        <v>4</v>
      </c>
      <c r="AB146" s="950">
        <v>2</v>
      </c>
      <c r="AC146" s="950">
        <v>2</v>
      </c>
      <c r="AD146" s="950">
        <v>4</v>
      </c>
      <c r="AE146" s="950">
        <v>4</v>
      </c>
      <c r="AF146" s="955">
        <f t="shared" si="230"/>
        <v>21</v>
      </c>
      <c r="AG146" s="955">
        <f t="shared" si="231"/>
        <v>81</v>
      </c>
      <c r="AH146" s="955">
        <f t="shared" si="232"/>
        <v>41</v>
      </c>
      <c r="AI146" s="955">
        <v>0</v>
      </c>
      <c r="AJ146" s="955">
        <v>0</v>
      </c>
      <c r="AK146" s="948">
        <f t="shared" si="233"/>
        <v>4.8000000000000007</v>
      </c>
      <c r="AL146" s="948">
        <f t="shared" si="234"/>
        <v>4.8000000000000007</v>
      </c>
      <c r="AM146" s="948">
        <f t="shared" si="235"/>
        <v>8.5120000000000005</v>
      </c>
      <c r="AN146" s="948">
        <f t="shared" si="236"/>
        <v>8.5120000000000005</v>
      </c>
      <c r="AO146" s="948">
        <f t="shared" si="237"/>
        <v>4.8000000000000007</v>
      </c>
      <c r="AP146" s="948">
        <f t="shared" si="238"/>
        <v>4.8000000000000007</v>
      </c>
      <c r="AQ146" s="948">
        <f t="shared" si="239"/>
        <v>1.708</v>
      </c>
      <c r="AR146" s="948">
        <f t="shared" si="240"/>
        <v>0</v>
      </c>
      <c r="AS146" s="948">
        <f t="shared" si="241"/>
        <v>0</v>
      </c>
      <c r="AT146" s="948">
        <f t="shared" si="242"/>
        <v>19.200000000000003</v>
      </c>
      <c r="AU146" s="948">
        <f t="shared" si="243"/>
        <v>19.200000000000003</v>
      </c>
      <c r="AV146" s="948">
        <f t="shared" si="244"/>
        <v>17.024000000000001</v>
      </c>
      <c r="AW146" s="948">
        <f t="shared" si="245"/>
        <v>17.024000000000001</v>
      </c>
      <c r="AX146" s="948">
        <f t="shared" si="246"/>
        <v>19.200000000000003</v>
      </c>
      <c r="AY146" s="948">
        <f t="shared" si="247"/>
        <v>19.200000000000003</v>
      </c>
      <c r="AZ146" s="948">
        <f t="shared" si="248"/>
        <v>244.244</v>
      </c>
      <c r="BA146" s="948">
        <f t="shared" si="249"/>
        <v>0</v>
      </c>
      <c r="BB146" s="948">
        <f t="shared" si="250"/>
        <v>0</v>
      </c>
      <c r="BC146" s="957">
        <f t="shared" si="251"/>
        <v>1.5786666666666667</v>
      </c>
      <c r="BD146" s="957">
        <f t="shared" si="251"/>
        <v>1.5786666666666667</v>
      </c>
      <c r="BE146" s="957">
        <f t="shared" si="251"/>
        <v>1.5786666666666667</v>
      </c>
      <c r="BF146" s="957">
        <f t="shared" si="251"/>
        <v>1.5786666666666667</v>
      </c>
      <c r="BG146" s="957">
        <f t="shared" si="251"/>
        <v>1.5786666666666667</v>
      </c>
      <c r="BH146" s="957">
        <f t="shared" si="251"/>
        <v>1.5786666666666667</v>
      </c>
      <c r="BI146" s="957">
        <f t="shared" si="251"/>
        <v>0.39466666666666667</v>
      </c>
      <c r="BJ146" s="957">
        <f t="shared" si="251"/>
        <v>0</v>
      </c>
      <c r="BK146" s="957">
        <f t="shared" si="251"/>
        <v>0</v>
      </c>
      <c r="BL146" s="948">
        <f t="shared" si="252"/>
        <v>30.310400000000005</v>
      </c>
      <c r="BM146" s="948">
        <f t="shared" si="252"/>
        <v>30.310400000000005</v>
      </c>
      <c r="BN146" s="948">
        <f t="shared" si="252"/>
        <v>26.875221333333336</v>
      </c>
      <c r="BO146" s="948">
        <f t="shared" si="252"/>
        <v>26.875221333333336</v>
      </c>
      <c r="BP146" s="948">
        <f t="shared" si="252"/>
        <v>30.310400000000005</v>
      </c>
      <c r="BQ146" s="948">
        <f t="shared" si="252"/>
        <v>30.310400000000005</v>
      </c>
      <c r="BR146" s="948">
        <f t="shared" si="252"/>
        <v>96.394965333333332</v>
      </c>
      <c r="BS146" s="948">
        <f t="shared" si="253"/>
        <v>0</v>
      </c>
      <c r="BT146" s="955">
        <f t="shared" si="254"/>
        <v>106.67728301886794</v>
      </c>
    </row>
    <row r="147" spans="1:72">
      <c r="A147" s="952">
        <v>9</v>
      </c>
      <c r="B147" s="952" t="s">
        <v>1128</v>
      </c>
      <c r="C147" s="950" t="s">
        <v>1129</v>
      </c>
      <c r="D147" s="950">
        <v>1</v>
      </c>
      <c r="E147" s="950">
        <v>1</v>
      </c>
      <c r="F147" s="948">
        <v>25.2</v>
      </c>
      <c r="G147" s="948">
        <v>0.3</v>
      </c>
      <c r="H147" s="948">
        <v>0.65</v>
      </c>
      <c r="I147" s="948">
        <v>0.12</v>
      </c>
      <c r="J147" s="948">
        <f t="shared" si="228"/>
        <v>0.53</v>
      </c>
      <c r="K147" s="948">
        <f t="shared" si="256"/>
        <v>4.0068000000000001</v>
      </c>
      <c r="L147" s="948">
        <f t="shared" si="255"/>
        <v>26.712</v>
      </c>
      <c r="M147" s="952"/>
      <c r="N147" s="950">
        <f t="shared" ref="N147:S147" si="258">N144</f>
        <v>16</v>
      </c>
      <c r="O147" s="950">
        <f t="shared" si="258"/>
        <v>16</v>
      </c>
      <c r="P147" s="950">
        <f t="shared" si="258"/>
        <v>16</v>
      </c>
      <c r="Q147" s="950">
        <f t="shared" si="258"/>
        <v>16</v>
      </c>
      <c r="R147" s="950">
        <f t="shared" si="258"/>
        <v>16</v>
      </c>
      <c r="S147" s="950">
        <f t="shared" si="258"/>
        <v>16</v>
      </c>
      <c r="T147" s="950">
        <v>8</v>
      </c>
      <c r="U147" s="950"/>
      <c r="V147" s="950"/>
      <c r="W147" s="950">
        <v>200</v>
      </c>
      <c r="X147" s="950">
        <v>100</v>
      </c>
      <c r="Y147" s="950">
        <f t="shared" ref="Y147" si="259">X147</f>
        <v>100</v>
      </c>
      <c r="Z147" s="950">
        <v>9</v>
      </c>
      <c r="AA147" s="950">
        <v>6</v>
      </c>
      <c r="AB147" s="950">
        <v>16</v>
      </c>
      <c r="AC147" s="950">
        <v>16</v>
      </c>
      <c r="AD147" s="950">
        <v>9</v>
      </c>
      <c r="AE147" s="950">
        <v>6</v>
      </c>
      <c r="AF147" s="955">
        <f t="shared" si="230"/>
        <v>32.5</v>
      </c>
      <c r="AG147" s="955">
        <f t="shared" si="231"/>
        <v>126.99999999999999</v>
      </c>
      <c r="AH147" s="955">
        <f t="shared" si="232"/>
        <v>63.999999999999993</v>
      </c>
      <c r="AI147" s="955">
        <v>0</v>
      </c>
      <c r="AJ147" s="955">
        <v>0</v>
      </c>
      <c r="AK147" s="948">
        <f t="shared" si="233"/>
        <v>7.1000000000000005</v>
      </c>
      <c r="AL147" s="948">
        <f t="shared" si="234"/>
        <v>7.1000000000000005</v>
      </c>
      <c r="AM147" s="948">
        <f t="shared" si="235"/>
        <v>13.112</v>
      </c>
      <c r="AN147" s="948">
        <f t="shared" si="236"/>
        <v>13.112</v>
      </c>
      <c r="AO147" s="948">
        <f t="shared" si="237"/>
        <v>7.1000000000000005</v>
      </c>
      <c r="AP147" s="948">
        <f t="shared" si="238"/>
        <v>7.1000000000000005</v>
      </c>
      <c r="AQ147" s="948">
        <f t="shared" si="239"/>
        <v>1.708</v>
      </c>
      <c r="AR147" s="948">
        <f t="shared" si="240"/>
        <v>0</v>
      </c>
      <c r="AS147" s="948">
        <f t="shared" si="241"/>
        <v>0</v>
      </c>
      <c r="AT147" s="948">
        <f t="shared" si="242"/>
        <v>63.900000000000006</v>
      </c>
      <c r="AU147" s="948">
        <f t="shared" si="243"/>
        <v>42.6</v>
      </c>
      <c r="AV147" s="948">
        <f t="shared" si="244"/>
        <v>209.792</v>
      </c>
      <c r="AW147" s="948">
        <f t="shared" si="245"/>
        <v>209.792</v>
      </c>
      <c r="AX147" s="948">
        <f t="shared" si="246"/>
        <v>63.900000000000006</v>
      </c>
      <c r="AY147" s="948">
        <f t="shared" si="247"/>
        <v>42.6</v>
      </c>
      <c r="AZ147" s="948">
        <f t="shared" si="248"/>
        <v>381.738</v>
      </c>
      <c r="BA147" s="948">
        <f t="shared" si="249"/>
        <v>0</v>
      </c>
      <c r="BB147" s="948">
        <f t="shared" si="250"/>
        <v>0</v>
      </c>
      <c r="BC147" s="957">
        <f t="shared" si="251"/>
        <v>1.5786666666666667</v>
      </c>
      <c r="BD147" s="957">
        <f t="shared" si="251"/>
        <v>1.5786666666666667</v>
      </c>
      <c r="BE147" s="957">
        <f t="shared" si="251"/>
        <v>1.5786666666666667</v>
      </c>
      <c r="BF147" s="957">
        <f t="shared" si="251"/>
        <v>1.5786666666666667</v>
      </c>
      <c r="BG147" s="957">
        <f t="shared" si="251"/>
        <v>1.5786666666666667</v>
      </c>
      <c r="BH147" s="957">
        <f t="shared" si="251"/>
        <v>1.5786666666666667</v>
      </c>
      <c r="BI147" s="957">
        <f t="shared" si="251"/>
        <v>0.39466666666666667</v>
      </c>
      <c r="BJ147" s="957">
        <f t="shared" si="251"/>
        <v>0</v>
      </c>
      <c r="BK147" s="957">
        <f t="shared" si="251"/>
        <v>0</v>
      </c>
      <c r="BL147" s="948">
        <f t="shared" si="252"/>
        <v>100.8768</v>
      </c>
      <c r="BM147" s="948">
        <f t="shared" si="252"/>
        <v>67.251199999999997</v>
      </c>
      <c r="BN147" s="948">
        <f t="shared" si="252"/>
        <v>331.19163733333335</v>
      </c>
      <c r="BO147" s="948">
        <f t="shared" si="252"/>
        <v>331.19163733333335</v>
      </c>
      <c r="BP147" s="948">
        <f t="shared" si="252"/>
        <v>100.8768</v>
      </c>
      <c r="BQ147" s="948">
        <f t="shared" si="252"/>
        <v>67.251199999999997</v>
      </c>
      <c r="BR147" s="948">
        <f t="shared" si="252"/>
        <v>150.65926400000001</v>
      </c>
      <c r="BS147" s="948">
        <f t="shared" si="253"/>
        <v>0</v>
      </c>
      <c r="BT147" s="955">
        <f t="shared" si="254"/>
        <v>286.83701174669727</v>
      </c>
    </row>
    <row r="148" spans="1:72">
      <c r="A148" s="952"/>
      <c r="B148" s="952"/>
      <c r="C148" s="950"/>
      <c r="D148" s="950"/>
      <c r="E148" s="950"/>
      <c r="F148" s="948"/>
      <c r="G148" s="948"/>
      <c r="H148" s="948"/>
      <c r="I148" s="948"/>
      <c r="J148" s="948"/>
      <c r="K148" s="948">
        <f>SUM(K125:K147)</f>
        <v>135.85479999999998</v>
      </c>
      <c r="L148" s="948">
        <f>SUM(L125:L147)</f>
        <v>965.75199999999995</v>
      </c>
      <c r="M148" s="952"/>
      <c r="N148" s="950"/>
      <c r="O148" s="950"/>
      <c r="P148" s="950"/>
      <c r="Q148" s="950"/>
      <c r="R148" s="950"/>
      <c r="S148" s="950"/>
      <c r="T148" s="950"/>
      <c r="U148" s="950"/>
      <c r="V148" s="950"/>
      <c r="W148" s="950"/>
      <c r="X148" s="950"/>
      <c r="Y148" s="950"/>
      <c r="Z148" s="950"/>
      <c r="AA148" s="950"/>
      <c r="AB148" s="950"/>
      <c r="AC148" s="950"/>
      <c r="AD148" s="950"/>
      <c r="AE148" s="950"/>
      <c r="AF148" s="955"/>
      <c r="AG148" s="955"/>
      <c r="AH148" s="955"/>
      <c r="AI148" s="955"/>
      <c r="AJ148" s="955"/>
      <c r="AK148" s="948"/>
      <c r="AL148" s="948"/>
      <c r="AM148" s="948"/>
      <c r="AN148" s="948"/>
      <c r="AO148" s="948"/>
      <c r="AP148" s="948"/>
      <c r="AQ148" s="948"/>
      <c r="AR148" s="948"/>
      <c r="AS148" s="948"/>
      <c r="AT148" s="948"/>
      <c r="AU148" s="948"/>
      <c r="AV148" s="948"/>
      <c r="AW148" s="948"/>
      <c r="AX148" s="948"/>
      <c r="AY148" s="948"/>
      <c r="AZ148" s="948"/>
      <c r="BA148" s="948"/>
      <c r="BB148" s="948"/>
      <c r="BC148" s="957"/>
      <c r="BD148" s="957"/>
      <c r="BE148" s="957"/>
      <c r="BF148" s="957"/>
      <c r="BG148" s="957"/>
      <c r="BH148" s="957"/>
      <c r="BI148" s="957"/>
      <c r="BJ148" s="957"/>
      <c r="BK148" s="957"/>
      <c r="BL148" s="948"/>
      <c r="BM148" s="948"/>
      <c r="BN148" s="948"/>
      <c r="BO148" s="948"/>
      <c r="BP148" s="948"/>
      <c r="BQ148" s="948"/>
      <c r="BR148" s="948"/>
      <c r="BS148" s="948"/>
      <c r="BT148" s="955"/>
    </row>
    <row r="149" spans="1:72">
      <c r="A149" s="952"/>
      <c r="B149" s="952"/>
      <c r="C149" s="950"/>
      <c r="D149" s="950"/>
      <c r="E149" s="950"/>
      <c r="F149" s="948"/>
      <c r="G149" s="948"/>
      <c r="H149" s="948"/>
      <c r="I149" s="948"/>
      <c r="J149" s="948"/>
      <c r="K149" s="948"/>
      <c r="L149" s="948"/>
      <c r="M149" s="952"/>
      <c r="N149" s="950"/>
      <c r="O149" s="950"/>
      <c r="P149" s="950"/>
      <c r="Q149" s="950"/>
      <c r="R149" s="950"/>
      <c r="S149" s="950"/>
      <c r="T149" s="950"/>
      <c r="U149" s="950"/>
      <c r="V149" s="950"/>
      <c r="W149" s="950"/>
      <c r="X149" s="950"/>
      <c r="Y149" s="950"/>
      <c r="Z149" s="950"/>
      <c r="AA149" s="950"/>
      <c r="AB149" s="950"/>
      <c r="AC149" s="950"/>
      <c r="AD149" s="950"/>
      <c r="AE149" s="950"/>
      <c r="AF149" s="955"/>
      <c r="AG149" s="955"/>
      <c r="AH149" s="955"/>
      <c r="AI149" s="955"/>
      <c r="AJ149" s="955"/>
      <c r="AK149" s="948"/>
      <c r="AL149" s="948"/>
      <c r="AM149" s="948"/>
      <c r="AN149" s="948"/>
      <c r="AO149" s="948"/>
      <c r="AP149" s="948"/>
      <c r="AQ149" s="948"/>
      <c r="AR149" s="948"/>
      <c r="AS149" s="948"/>
      <c r="AT149" s="948"/>
      <c r="AU149" s="948"/>
      <c r="AV149" s="948"/>
      <c r="AW149" s="948"/>
      <c r="AX149" s="948"/>
      <c r="AY149" s="948"/>
      <c r="AZ149" s="948"/>
      <c r="BA149" s="948"/>
      <c r="BB149" s="948"/>
      <c r="BC149" s="957"/>
      <c r="BD149" s="957"/>
      <c r="BE149" s="957"/>
      <c r="BF149" s="957"/>
      <c r="BG149" s="957"/>
      <c r="BH149" s="957"/>
      <c r="BI149" s="957"/>
      <c r="BJ149" s="957"/>
      <c r="BK149" s="957"/>
      <c r="BL149" s="948"/>
      <c r="BM149" s="948"/>
      <c r="BN149" s="948"/>
      <c r="BO149" s="948"/>
      <c r="BP149" s="948"/>
      <c r="BQ149" s="948"/>
      <c r="BR149" s="948"/>
      <c r="BS149" s="948"/>
      <c r="BT149" s="955"/>
    </row>
    <row r="150" spans="1:72">
      <c r="A150" s="952" t="s">
        <v>975</v>
      </c>
      <c r="B150" s="952"/>
      <c r="C150" s="950" t="s">
        <v>76</v>
      </c>
      <c r="D150" s="964" t="s">
        <v>1152</v>
      </c>
      <c r="E150" s="950"/>
      <c r="F150" s="948"/>
      <c r="G150" s="948"/>
      <c r="H150" s="948"/>
      <c r="I150" s="948"/>
      <c r="J150" s="948"/>
      <c r="K150" s="948"/>
      <c r="L150" s="948"/>
      <c r="M150" s="952"/>
      <c r="N150" s="950"/>
      <c r="O150" s="950"/>
      <c r="P150" s="950"/>
      <c r="Q150" s="950"/>
      <c r="R150" s="950"/>
      <c r="S150" s="950"/>
      <c r="T150" s="950"/>
      <c r="U150" s="950"/>
      <c r="V150" s="950"/>
      <c r="W150" s="950"/>
      <c r="X150" s="950"/>
      <c r="Y150" s="950"/>
      <c r="Z150" s="950"/>
      <c r="AA150" s="950"/>
      <c r="AB150" s="950"/>
      <c r="AC150" s="950"/>
      <c r="AD150" s="950"/>
      <c r="AE150" s="950"/>
      <c r="AF150" s="955"/>
      <c r="AG150" s="955"/>
      <c r="AH150" s="955"/>
      <c r="AI150" s="955"/>
      <c r="AJ150" s="955"/>
      <c r="AK150" s="948"/>
      <c r="AL150" s="948"/>
      <c r="AM150" s="948"/>
      <c r="AN150" s="948"/>
      <c r="AO150" s="948"/>
      <c r="AP150" s="948"/>
      <c r="AQ150" s="948"/>
      <c r="AR150" s="948"/>
      <c r="AS150" s="948"/>
      <c r="AT150" s="948"/>
      <c r="AU150" s="948"/>
      <c r="AV150" s="948"/>
      <c r="AW150" s="948"/>
      <c r="AX150" s="948"/>
      <c r="AY150" s="948"/>
      <c r="AZ150" s="948"/>
      <c r="BA150" s="948"/>
      <c r="BB150" s="948"/>
      <c r="BC150" s="957"/>
      <c r="BD150" s="957"/>
      <c r="BE150" s="957"/>
      <c r="BF150" s="957"/>
      <c r="BG150" s="957"/>
      <c r="BH150" s="957"/>
      <c r="BI150" s="957"/>
      <c r="BJ150" s="957"/>
      <c r="BK150" s="957"/>
      <c r="BL150" s="948"/>
      <c r="BM150" s="948"/>
      <c r="BN150" s="948"/>
      <c r="BO150" s="948"/>
      <c r="BP150" s="948"/>
      <c r="BQ150" s="948"/>
      <c r="BR150" s="948"/>
      <c r="BS150" s="948"/>
      <c r="BT150" s="955"/>
    </row>
    <row r="151" spans="1:72">
      <c r="A151" s="952" t="s">
        <v>977</v>
      </c>
      <c r="B151" s="952"/>
      <c r="C151" s="950" t="s">
        <v>76</v>
      </c>
      <c r="D151" s="964" t="s">
        <v>591</v>
      </c>
      <c r="E151" s="950"/>
      <c r="F151" s="948"/>
      <c r="G151" s="948"/>
      <c r="H151" s="948"/>
      <c r="I151" s="948"/>
      <c r="J151" s="948"/>
      <c r="K151" s="948"/>
      <c r="L151" s="948"/>
      <c r="M151" s="952"/>
      <c r="N151" s="950"/>
      <c r="O151" s="950"/>
      <c r="P151" s="950"/>
      <c r="Q151" s="950"/>
      <c r="R151" s="950"/>
      <c r="S151" s="950"/>
      <c r="T151" s="950"/>
      <c r="U151" s="950"/>
      <c r="V151" s="950"/>
      <c r="W151" s="950"/>
      <c r="X151" s="950"/>
      <c r="Y151" s="950"/>
      <c r="Z151" s="950"/>
      <c r="AA151" s="950"/>
      <c r="AB151" s="950"/>
      <c r="AC151" s="950"/>
      <c r="AD151" s="950"/>
      <c r="AE151" s="950"/>
      <c r="AF151" s="955"/>
      <c r="AG151" s="955"/>
      <c r="AH151" s="955"/>
      <c r="AI151" s="955"/>
      <c r="AJ151" s="955"/>
      <c r="AK151" s="948"/>
      <c r="AL151" s="948"/>
      <c r="AM151" s="948"/>
      <c r="AN151" s="948"/>
      <c r="AO151" s="948"/>
      <c r="AP151" s="948"/>
      <c r="AQ151" s="948"/>
      <c r="AR151" s="948"/>
      <c r="AS151" s="948"/>
      <c r="AT151" s="948"/>
      <c r="AU151" s="948"/>
      <c r="AV151" s="948"/>
      <c r="AW151" s="948"/>
      <c r="AX151" s="948"/>
      <c r="AY151" s="948"/>
      <c r="AZ151" s="948"/>
      <c r="BA151" s="948"/>
      <c r="BB151" s="948"/>
      <c r="BC151" s="957"/>
      <c r="BD151" s="957"/>
      <c r="BE151" s="957"/>
      <c r="BF151" s="957"/>
      <c r="BG151" s="957"/>
      <c r="BH151" s="957"/>
      <c r="BI151" s="957"/>
      <c r="BJ151" s="957"/>
      <c r="BK151" s="957"/>
      <c r="BL151" s="948"/>
      <c r="BM151" s="948"/>
      <c r="BN151" s="948"/>
      <c r="BO151" s="948"/>
      <c r="BP151" s="948"/>
      <c r="BQ151" s="948"/>
      <c r="BR151" s="948"/>
      <c r="BS151" s="948"/>
      <c r="BT151" s="955"/>
    </row>
    <row r="152" spans="1:72">
      <c r="A152" s="952" t="s">
        <v>978</v>
      </c>
      <c r="B152" s="952"/>
      <c r="C152" s="950" t="s">
        <v>76</v>
      </c>
      <c r="D152" s="964" t="s">
        <v>1153</v>
      </c>
      <c r="E152" s="950"/>
      <c r="F152" s="948"/>
      <c r="G152" s="948"/>
      <c r="H152" s="948"/>
      <c r="I152" s="948"/>
      <c r="J152" s="948"/>
      <c r="K152" s="948"/>
      <c r="L152" s="948"/>
      <c r="M152" s="952"/>
      <c r="N152" s="950"/>
      <c r="O152" s="950"/>
      <c r="P152" s="950"/>
      <c r="Q152" s="950"/>
      <c r="R152" s="950"/>
      <c r="S152" s="950"/>
      <c r="T152" s="950"/>
      <c r="U152" s="950"/>
      <c r="V152" s="950"/>
      <c r="W152" s="950"/>
      <c r="X152" s="950"/>
      <c r="Y152" s="950"/>
      <c r="Z152" s="950"/>
      <c r="AA152" s="950"/>
      <c r="AB152" s="950"/>
      <c r="AC152" s="950"/>
      <c r="AD152" s="950"/>
      <c r="AE152" s="950"/>
      <c r="AF152" s="955"/>
      <c r="AG152" s="955"/>
      <c r="AH152" s="955"/>
      <c r="AI152" s="955"/>
      <c r="AJ152" s="955"/>
      <c r="AK152" s="948"/>
      <c r="AL152" s="948"/>
      <c r="AM152" s="948"/>
      <c r="AN152" s="948"/>
      <c r="AO152" s="948"/>
      <c r="AP152" s="948"/>
      <c r="AQ152" s="948"/>
      <c r="AR152" s="948"/>
      <c r="AS152" s="948"/>
      <c r="AT152" s="948"/>
      <c r="AU152" s="948"/>
      <c r="AV152" s="948"/>
      <c r="AW152" s="948"/>
      <c r="AX152" s="948"/>
      <c r="AY152" s="948"/>
      <c r="AZ152" s="948"/>
      <c r="BA152" s="948"/>
      <c r="BB152" s="948"/>
      <c r="BC152" s="957"/>
      <c r="BD152" s="957"/>
      <c r="BE152" s="957"/>
      <c r="BF152" s="957"/>
      <c r="BG152" s="957"/>
      <c r="BH152" s="957"/>
      <c r="BI152" s="957"/>
      <c r="BJ152" s="957"/>
      <c r="BK152" s="957"/>
      <c r="BL152" s="948"/>
      <c r="BM152" s="948"/>
      <c r="BN152" s="948"/>
      <c r="BO152" s="948"/>
      <c r="BP152" s="948"/>
      <c r="BQ152" s="948"/>
      <c r="BR152" s="948"/>
      <c r="BS152" s="948"/>
      <c r="BT152" s="955"/>
    </row>
    <row r="153" spans="1:72">
      <c r="A153" s="952" t="s">
        <v>980</v>
      </c>
      <c r="B153" s="952"/>
      <c r="C153" s="950" t="s">
        <v>76</v>
      </c>
      <c r="D153" s="964" t="s">
        <v>981</v>
      </c>
      <c r="E153" s="950"/>
      <c r="F153" s="948"/>
      <c r="G153" s="948"/>
      <c r="H153" s="948"/>
      <c r="I153" s="948"/>
      <c r="J153" s="948"/>
      <c r="K153" s="948"/>
      <c r="L153" s="948"/>
      <c r="M153" s="952"/>
      <c r="N153" s="950"/>
      <c r="O153" s="950"/>
      <c r="P153" s="950"/>
      <c r="Q153" s="950"/>
      <c r="R153" s="950"/>
      <c r="S153" s="950"/>
      <c r="T153" s="950"/>
      <c r="U153" s="950"/>
      <c r="V153" s="950"/>
      <c r="W153" s="950"/>
      <c r="X153" s="950"/>
      <c r="Y153" s="950"/>
      <c r="Z153" s="950"/>
      <c r="AA153" s="950"/>
      <c r="AB153" s="950"/>
      <c r="AC153" s="950"/>
      <c r="AD153" s="950"/>
      <c r="AE153" s="950"/>
      <c r="AF153" s="955"/>
      <c r="AG153" s="955"/>
      <c r="AH153" s="955"/>
      <c r="AI153" s="955"/>
      <c r="AJ153" s="955"/>
      <c r="AK153" s="948"/>
      <c r="AL153" s="948"/>
      <c r="AM153" s="948"/>
      <c r="AN153" s="948"/>
      <c r="AO153" s="948"/>
      <c r="AP153" s="948"/>
      <c r="AQ153" s="948"/>
      <c r="AR153" s="948"/>
      <c r="AS153" s="948"/>
      <c r="AT153" s="948"/>
      <c r="AU153" s="948"/>
      <c r="AV153" s="948"/>
      <c r="AW153" s="948"/>
      <c r="AX153" s="948"/>
      <c r="AY153" s="948"/>
      <c r="AZ153" s="948"/>
      <c r="BA153" s="948"/>
      <c r="BB153" s="948"/>
      <c r="BC153" s="957"/>
      <c r="BD153" s="957"/>
      <c r="BE153" s="957"/>
      <c r="BF153" s="957"/>
      <c r="BG153" s="957"/>
      <c r="BH153" s="957"/>
      <c r="BI153" s="957"/>
      <c r="BJ153" s="957"/>
      <c r="BK153" s="957"/>
      <c r="BL153" s="948"/>
      <c r="BM153" s="948"/>
      <c r="BN153" s="948"/>
      <c r="BO153" s="948"/>
      <c r="BP153" s="948"/>
      <c r="BQ153" s="948"/>
      <c r="BR153" s="948"/>
      <c r="BS153" s="948"/>
      <c r="BT153" s="955"/>
    </row>
    <row r="154" spans="1:72">
      <c r="A154" s="952"/>
      <c r="B154" s="952"/>
      <c r="C154" s="950"/>
      <c r="D154" s="950"/>
      <c r="E154" s="950"/>
      <c r="F154" s="948"/>
      <c r="G154" s="948"/>
      <c r="H154" s="948"/>
      <c r="I154" s="948"/>
      <c r="J154" s="948"/>
      <c r="K154" s="948"/>
      <c r="L154" s="948"/>
      <c r="M154" s="952"/>
      <c r="N154" s="950"/>
      <c r="O154" s="950"/>
      <c r="P154" s="950"/>
      <c r="Q154" s="950"/>
      <c r="R154" s="950"/>
      <c r="S154" s="950"/>
      <c r="T154" s="950"/>
      <c r="U154" s="950"/>
      <c r="V154" s="950"/>
      <c r="W154" s="950"/>
      <c r="X154" s="950"/>
      <c r="Y154" s="950"/>
      <c r="Z154" s="950"/>
      <c r="AA154" s="950"/>
      <c r="AB154" s="950"/>
      <c r="AC154" s="950"/>
      <c r="AD154" s="950"/>
      <c r="AE154" s="950"/>
      <c r="AF154" s="955"/>
      <c r="AG154" s="955"/>
      <c r="AH154" s="955"/>
      <c r="AI154" s="955"/>
      <c r="AJ154" s="955"/>
      <c r="AK154" s="948"/>
      <c r="AL154" s="948"/>
      <c r="AM154" s="948"/>
      <c r="AN154" s="948"/>
      <c r="AO154" s="948"/>
      <c r="AP154" s="948"/>
      <c r="AQ154" s="948"/>
      <c r="AR154" s="948"/>
      <c r="AS154" s="948"/>
      <c r="AT154" s="948"/>
      <c r="AU154" s="948"/>
      <c r="AV154" s="948"/>
      <c r="AW154" s="948"/>
      <c r="AX154" s="948"/>
      <c r="AY154" s="948"/>
      <c r="AZ154" s="948"/>
      <c r="BA154" s="948"/>
      <c r="BB154" s="948"/>
      <c r="BC154" s="957"/>
      <c r="BD154" s="957"/>
      <c r="BE154" s="957"/>
      <c r="BF154" s="957"/>
      <c r="BG154" s="957"/>
      <c r="BH154" s="957"/>
      <c r="BI154" s="957"/>
      <c r="BJ154" s="957"/>
      <c r="BK154" s="957"/>
      <c r="BL154" s="948"/>
      <c r="BM154" s="948"/>
      <c r="BN154" s="948"/>
      <c r="BO154" s="948"/>
      <c r="BP154" s="948"/>
      <c r="BQ154" s="948"/>
      <c r="BR154" s="948"/>
      <c r="BS154" s="948"/>
      <c r="BT154" s="955"/>
    </row>
    <row r="155" spans="1:72">
      <c r="A155" s="949" t="s">
        <v>66</v>
      </c>
      <c r="B155" s="949" t="s">
        <v>1050</v>
      </c>
      <c r="C155" s="949" t="s">
        <v>983</v>
      </c>
      <c r="D155" s="950" t="s">
        <v>1051</v>
      </c>
      <c r="E155" s="950" t="s">
        <v>1052</v>
      </c>
      <c r="F155" s="951" t="s">
        <v>984</v>
      </c>
      <c r="G155" s="951"/>
      <c r="H155" s="951"/>
      <c r="I155" s="948" t="s">
        <v>985</v>
      </c>
      <c r="J155" s="948" t="s">
        <v>1053</v>
      </c>
      <c r="K155" s="948" t="s">
        <v>392</v>
      </c>
      <c r="L155" s="948" t="s">
        <v>377</v>
      </c>
      <c r="M155" s="952"/>
      <c r="N155" s="949" t="s">
        <v>1054</v>
      </c>
      <c r="O155" s="949"/>
      <c r="P155" s="949"/>
      <c r="Q155" s="949"/>
      <c r="R155" s="949"/>
      <c r="S155" s="949"/>
      <c r="T155" s="949" t="s">
        <v>1055</v>
      </c>
      <c r="U155" s="949"/>
      <c r="V155" s="949"/>
      <c r="W155" s="949" t="s">
        <v>989</v>
      </c>
      <c r="X155" s="949"/>
      <c r="Y155" s="949"/>
      <c r="Z155" s="949" t="s">
        <v>1056</v>
      </c>
      <c r="AA155" s="949"/>
      <c r="AB155" s="949"/>
      <c r="AC155" s="949"/>
      <c r="AD155" s="949"/>
      <c r="AE155" s="949"/>
      <c r="AF155" s="953" t="s">
        <v>1057</v>
      </c>
      <c r="AG155" s="953"/>
      <c r="AH155" s="953"/>
      <c r="AI155" s="953"/>
      <c r="AJ155" s="953"/>
      <c r="AK155" s="951" t="s">
        <v>1058</v>
      </c>
      <c r="AL155" s="951"/>
      <c r="AM155" s="951"/>
      <c r="AN155" s="951"/>
      <c r="AO155" s="951"/>
      <c r="AP155" s="951"/>
      <c r="AQ155" s="951" t="s">
        <v>1059</v>
      </c>
      <c r="AR155" s="951"/>
      <c r="AS155" s="951"/>
      <c r="AT155" s="951" t="s">
        <v>1060</v>
      </c>
      <c r="AU155" s="951"/>
      <c r="AV155" s="951"/>
      <c r="AW155" s="951"/>
      <c r="AX155" s="951"/>
      <c r="AY155" s="951"/>
      <c r="AZ155" s="951" t="s">
        <v>1061</v>
      </c>
      <c r="BA155" s="951"/>
      <c r="BB155" s="951"/>
      <c r="BC155" s="954" t="s">
        <v>1062</v>
      </c>
      <c r="BD155" s="954"/>
      <c r="BE155" s="954"/>
      <c r="BF155" s="954"/>
      <c r="BG155" s="954"/>
      <c r="BH155" s="954"/>
      <c r="BI155" s="954" t="s">
        <v>996</v>
      </c>
      <c r="BJ155" s="954"/>
      <c r="BK155" s="954"/>
      <c r="BL155" s="951" t="s">
        <v>997</v>
      </c>
      <c r="BM155" s="951"/>
      <c r="BN155" s="951"/>
      <c r="BO155" s="951"/>
      <c r="BP155" s="951"/>
      <c r="BQ155" s="951"/>
      <c r="BR155" s="951"/>
      <c r="BS155" s="951"/>
      <c r="BT155" s="955" t="s">
        <v>998</v>
      </c>
    </row>
    <row r="156" spans="1:72">
      <c r="A156" s="949"/>
      <c r="B156" s="949"/>
      <c r="C156" s="949"/>
      <c r="D156" s="949" t="s">
        <v>1063</v>
      </c>
      <c r="E156" s="949" t="s">
        <v>391</v>
      </c>
      <c r="F156" s="948" t="s">
        <v>999</v>
      </c>
      <c r="G156" s="948" t="s">
        <v>1000</v>
      </c>
      <c r="H156" s="948" t="s">
        <v>1001</v>
      </c>
      <c r="I156" s="948" t="s">
        <v>1002</v>
      </c>
      <c r="J156" s="948" t="s">
        <v>1003</v>
      </c>
      <c r="K156" s="951" t="s">
        <v>1064</v>
      </c>
      <c r="L156" s="948"/>
      <c r="M156" s="952"/>
      <c r="N156" s="949" t="s">
        <v>1001</v>
      </c>
      <c r="O156" s="949"/>
      <c r="P156" s="949" t="s">
        <v>1000</v>
      </c>
      <c r="Q156" s="949"/>
      <c r="R156" s="949" t="s">
        <v>1001</v>
      </c>
      <c r="S156" s="949"/>
      <c r="T156" s="950" t="s">
        <v>1007</v>
      </c>
      <c r="U156" s="949" t="s">
        <v>1005</v>
      </c>
      <c r="V156" s="949"/>
      <c r="W156" s="949"/>
      <c r="X156" s="949" t="s">
        <v>1000</v>
      </c>
      <c r="Y156" s="949" t="s">
        <v>1001</v>
      </c>
      <c r="Z156" s="949" t="s">
        <v>1001</v>
      </c>
      <c r="AA156" s="949"/>
      <c r="AB156" s="949" t="s">
        <v>1000</v>
      </c>
      <c r="AC156" s="949"/>
      <c r="AD156" s="949" t="s">
        <v>1001</v>
      </c>
      <c r="AE156" s="949"/>
      <c r="AF156" s="953" t="s">
        <v>1004</v>
      </c>
      <c r="AG156" s="953"/>
      <c r="AH156" s="953"/>
      <c r="AI156" s="953" t="s">
        <v>1065</v>
      </c>
      <c r="AJ156" s="953"/>
      <c r="AK156" s="951" t="s">
        <v>1001</v>
      </c>
      <c r="AL156" s="951"/>
      <c r="AM156" s="951" t="s">
        <v>1000</v>
      </c>
      <c r="AN156" s="951"/>
      <c r="AO156" s="951" t="s">
        <v>1001</v>
      </c>
      <c r="AP156" s="951"/>
      <c r="AQ156" s="951" t="s">
        <v>1004</v>
      </c>
      <c r="AR156" s="951" t="s">
        <v>1005</v>
      </c>
      <c r="AS156" s="951"/>
      <c r="AT156" s="951" t="s">
        <v>1066</v>
      </c>
      <c r="AU156" s="951"/>
      <c r="AV156" s="951" t="s">
        <v>1000</v>
      </c>
      <c r="AW156" s="951"/>
      <c r="AX156" s="951" t="s">
        <v>1001</v>
      </c>
      <c r="AY156" s="951"/>
      <c r="AZ156" s="951" t="s">
        <v>1004</v>
      </c>
      <c r="BA156" s="951" t="s">
        <v>1005</v>
      </c>
      <c r="BB156" s="951"/>
      <c r="BC156" s="953" t="s">
        <v>1001</v>
      </c>
      <c r="BD156" s="953"/>
      <c r="BE156" s="953" t="s">
        <v>1000</v>
      </c>
      <c r="BF156" s="953"/>
      <c r="BG156" s="951" t="s">
        <v>1001</v>
      </c>
      <c r="BH156" s="951"/>
      <c r="BI156" s="956" t="s">
        <v>1004</v>
      </c>
      <c r="BJ156" s="954" t="s">
        <v>1005</v>
      </c>
      <c r="BK156" s="954"/>
      <c r="BL156" s="951" t="s">
        <v>1006</v>
      </c>
      <c r="BM156" s="951"/>
      <c r="BN156" s="951"/>
      <c r="BO156" s="951"/>
      <c r="BP156" s="951"/>
      <c r="BQ156" s="951"/>
      <c r="BR156" s="951" t="s">
        <v>1067</v>
      </c>
      <c r="BS156" s="951"/>
      <c r="BT156" s="953" t="s">
        <v>1068</v>
      </c>
    </row>
    <row r="157" spans="1:72">
      <c r="A157" s="949"/>
      <c r="B157" s="949"/>
      <c r="C157" s="949" t="s">
        <v>391</v>
      </c>
      <c r="D157" s="949"/>
      <c r="E157" s="949"/>
      <c r="F157" s="948" t="s">
        <v>1069</v>
      </c>
      <c r="G157" s="948" t="s">
        <v>1069</v>
      </c>
      <c r="H157" s="948" t="s">
        <v>1069</v>
      </c>
      <c r="I157" s="948" t="s">
        <v>1069</v>
      </c>
      <c r="J157" s="948" t="s">
        <v>1069</v>
      </c>
      <c r="K157" s="951"/>
      <c r="L157" s="948" t="s">
        <v>1070</v>
      </c>
      <c r="M157" s="952"/>
      <c r="N157" s="949"/>
      <c r="O157" s="949"/>
      <c r="P157" s="949"/>
      <c r="Q157" s="949"/>
      <c r="R157" s="949"/>
      <c r="S157" s="949"/>
      <c r="T157" s="950" t="s">
        <v>1071</v>
      </c>
      <c r="U157" s="950" t="s">
        <v>1012</v>
      </c>
      <c r="V157" s="950" t="s">
        <v>494</v>
      </c>
      <c r="W157" s="949"/>
      <c r="X157" s="949"/>
      <c r="Y157" s="949"/>
      <c r="Z157" s="949"/>
      <c r="AA157" s="949"/>
      <c r="AB157" s="949"/>
      <c r="AC157" s="949"/>
      <c r="AD157" s="949"/>
      <c r="AE157" s="949"/>
      <c r="AF157" s="955" t="s">
        <v>1001</v>
      </c>
      <c r="AG157" s="955" t="s">
        <v>1000</v>
      </c>
      <c r="AH157" s="955" t="s">
        <v>1001</v>
      </c>
      <c r="AI157" s="955" t="s">
        <v>1012</v>
      </c>
      <c r="AJ157" s="955" t="s">
        <v>494</v>
      </c>
      <c r="AK157" s="951"/>
      <c r="AL157" s="951"/>
      <c r="AM157" s="951"/>
      <c r="AN157" s="951"/>
      <c r="AO157" s="951"/>
      <c r="AP157" s="951"/>
      <c r="AQ157" s="951"/>
      <c r="AR157" s="948" t="s">
        <v>1012</v>
      </c>
      <c r="AS157" s="948" t="s">
        <v>494</v>
      </c>
      <c r="AT157" s="951"/>
      <c r="AU157" s="951"/>
      <c r="AV157" s="951"/>
      <c r="AW157" s="951"/>
      <c r="AX157" s="951"/>
      <c r="AY157" s="951"/>
      <c r="AZ157" s="951"/>
      <c r="BA157" s="948" t="s">
        <v>1012</v>
      </c>
      <c r="BB157" s="948" t="s">
        <v>494</v>
      </c>
      <c r="BC157" s="953"/>
      <c r="BD157" s="953"/>
      <c r="BE157" s="953"/>
      <c r="BF157" s="953"/>
      <c r="BG157" s="951"/>
      <c r="BH157" s="951"/>
      <c r="BI157" s="957"/>
      <c r="BJ157" s="957" t="s">
        <v>1012</v>
      </c>
      <c r="BK157" s="957" t="s">
        <v>494</v>
      </c>
      <c r="BL157" s="951" t="s">
        <v>1001</v>
      </c>
      <c r="BM157" s="951"/>
      <c r="BN157" s="951" t="s">
        <v>1000</v>
      </c>
      <c r="BO157" s="951"/>
      <c r="BP157" s="951" t="s">
        <v>1001</v>
      </c>
      <c r="BQ157" s="951"/>
      <c r="BR157" s="951" t="s">
        <v>1004</v>
      </c>
      <c r="BS157" s="948"/>
      <c r="BT157" s="953"/>
    </row>
    <row r="158" spans="1:72">
      <c r="A158" s="949"/>
      <c r="B158" s="949"/>
      <c r="C158" s="949"/>
      <c r="D158" s="950" t="s">
        <v>1072</v>
      </c>
      <c r="E158" s="950" t="s">
        <v>1073</v>
      </c>
      <c r="F158" s="948" t="s">
        <v>1074</v>
      </c>
      <c r="G158" s="948" t="s">
        <v>1075</v>
      </c>
      <c r="H158" s="948" t="s">
        <v>1076</v>
      </c>
      <c r="I158" s="948" t="s">
        <v>1077</v>
      </c>
      <c r="J158" s="948" t="s">
        <v>1078</v>
      </c>
      <c r="K158" s="948" t="s">
        <v>1079</v>
      </c>
      <c r="L158" s="948" t="s">
        <v>1080</v>
      </c>
      <c r="M158" s="952"/>
      <c r="N158" s="949" t="s">
        <v>1081</v>
      </c>
      <c r="O158" s="949"/>
      <c r="P158" s="949"/>
      <c r="Q158" s="949"/>
      <c r="R158" s="949"/>
      <c r="S158" s="949"/>
      <c r="T158" s="950" t="s">
        <v>1082</v>
      </c>
      <c r="U158" s="949" t="s">
        <v>1081</v>
      </c>
      <c r="V158" s="949"/>
      <c r="W158" s="949" t="s">
        <v>1081</v>
      </c>
      <c r="X158" s="949"/>
      <c r="Y158" s="949"/>
      <c r="Z158" s="949" t="s">
        <v>1082</v>
      </c>
      <c r="AA158" s="949"/>
      <c r="AB158" s="949"/>
      <c r="AC158" s="949"/>
      <c r="AD158" s="949"/>
      <c r="AE158" s="949"/>
      <c r="AF158" s="953" t="s">
        <v>1082</v>
      </c>
      <c r="AG158" s="953"/>
      <c r="AH158" s="953"/>
      <c r="AI158" s="953"/>
      <c r="AJ158" s="953"/>
      <c r="AK158" s="951" t="s">
        <v>1069</v>
      </c>
      <c r="AL158" s="951"/>
      <c r="AM158" s="951"/>
      <c r="AN158" s="951"/>
      <c r="AO158" s="951"/>
      <c r="AP158" s="951"/>
      <c r="AQ158" s="951"/>
      <c r="AR158" s="951"/>
      <c r="AS158" s="951"/>
      <c r="AT158" s="951"/>
      <c r="AU158" s="951"/>
      <c r="AV158" s="951"/>
      <c r="AW158" s="951"/>
      <c r="AX158" s="951"/>
      <c r="AY158" s="951"/>
      <c r="AZ158" s="951"/>
      <c r="BA158" s="951"/>
      <c r="BB158" s="951"/>
      <c r="BC158" s="954"/>
      <c r="BD158" s="954"/>
      <c r="BE158" s="954"/>
      <c r="BF158" s="954"/>
      <c r="BG158" s="954"/>
      <c r="BH158" s="954"/>
      <c r="BI158" s="954"/>
      <c r="BJ158" s="954"/>
      <c r="BK158" s="954"/>
      <c r="BL158" s="951"/>
      <c r="BM158" s="951"/>
      <c r="BN158" s="951"/>
      <c r="BO158" s="951"/>
      <c r="BP158" s="951"/>
      <c r="BQ158" s="951"/>
      <c r="BR158" s="951"/>
      <c r="BS158" s="948" t="s">
        <v>494</v>
      </c>
      <c r="BT158" s="953"/>
    </row>
    <row r="159" spans="1:72">
      <c r="A159" s="952"/>
      <c r="B159" s="952"/>
      <c r="C159" s="950"/>
      <c r="D159" s="950"/>
      <c r="E159" s="950"/>
      <c r="F159" s="948"/>
      <c r="G159" s="948"/>
      <c r="H159" s="948"/>
      <c r="I159" s="948"/>
      <c r="J159" s="948"/>
      <c r="K159" s="948"/>
      <c r="L159" s="948"/>
      <c r="M159" s="952"/>
      <c r="N159" s="950"/>
      <c r="O159" s="950"/>
      <c r="P159" s="950"/>
      <c r="Q159" s="950"/>
      <c r="R159" s="950"/>
      <c r="S159" s="950"/>
      <c r="T159" s="950"/>
      <c r="U159" s="950"/>
      <c r="V159" s="950"/>
      <c r="W159" s="950"/>
      <c r="X159" s="950"/>
      <c r="Y159" s="950"/>
      <c r="Z159" s="950"/>
      <c r="AA159" s="950"/>
      <c r="AB159" s="950"/>
      <c r="AC159" s="950"/>
      <c r="AD159" s="950"/>
      <c r="AE159" s="950"/>
      <c r="AF159" s="955"/>
      <c r="AG159" s="955"/>
      <c r="AH159" s="955"/>
      <c r="AI159" s="955"/>
      <c r="AJ159" s="955"/>
      <c r="AK159" s="948"/>
      <c r="AL159" s="948"/>
      <c r="AM159" s="948"/>
      <c r="AN159" s="948"/>
      <c r="AO159" s="948"/>
      <c r="AP159" s="948"/>
      <c r="AQ159" s="948"/>
      <c r="AR159" s="948"/>
      <c r="AS159" s="948"/>
      <c r="AT159" s="948"/>
      <c r="AU159" s="948"/>
      <c r="AV159" s="948"/>
      <c r="AW159" s="948"/>
      <c r="AX159" s="948"/>
      <c r="AY159" s="948"/>
      <c r="AZ159" s="948"/>
      <c r="BA159" s="948"/>
      <c r="BB159" s="948"/>
      <c r="BC159" s="957"/>
      <c r="BD159" s="957"/>
      <c r="BE159" s="957"/>
      <c r="BF159" s="957"/>
      <c r="BG159" s="957"/>
      <c r="BH159" s="957"/>
      <c r="BI159" s="957"/>
      <c r="BJ159" s="957"/>
      <c r="BK159" s="957"/>
      <c r="BL159" s="948"/>
      <c r="BM159" s="948"/>
      <c r="BN159" s="948"/>
      <c r="BO159" s="948"/>
      <c r="BP159" s="948"/>
      <c r="BQ159" s="948"/>
      <c r="BR159" s="948"/>
      <c r="BS159" s="948"/>
      <c r="BT159" s="955"/>
    </row>
    <row r="160" spans="1:72">
      <c r="A160" s="958" t="s">
        <v>1154</v>
      </c>
      <c r="B160" s="952"/>
      <c r="C160" s="950"/>
      <c r="D160" s="950"/>
      <c r="E160" s="950"/>
      <c r="F160" s="948"/>
      <c r="G160" s="948"/>
      <c r="H160" s="948"/>
      <c r="I160" s="948"/>
      <c r="J160" s="948"/>
      <c r="K160" s="948"/>
      <c r="L160" s="948"/>
      <c r="M160" s="952"/>
      <c r="N160" s="959" t="str">
        <f>A160</f>
        <v>Balok Lantai 4</v>
      </c>
      <c r="O160" s="959"/>
      <c r="P160" s="950"/>
      <c r="Q160" s="950"/>
      <c r="R160" s="950"/>
      <c r="S160" s="950"/>
      <c r="T160" s="950"/>
      <c r="U160" s="950"/>
      <c r="V160" s="950"/>
      <c r="W160" s="950"/>
      <c r="X160" s="950"/>
      <c r="Y160" s="950"/>
      <c r="Z160" s="950"/>
      <c r="AA160" s="950"/>
      <c r="AB160" s="950"/>
      <c r="AC160" s="950"/>
      <c r="AD160" s="950"/>
      <c r="AE160" s="950"/>
      <c r="AF160" s="955"/>
      <c r="AG160" s="955"/>
      <c r="AH160" s="955"/>
      <c r="AI160" s="955"/>
      <c r="AJ160" s="955"/>
      <c r="AK160" s="948"/>
      <c r="AL160" s="948"/>
      <c r="AM160" s="948"/>
      <c r="AN160" s="948"/>
      <c r="AO160" s="948"/>
      <c r="AP160" s="948"/>
      <c r="AQ160" s="948"/>
      <c r="AR160" s="948"/>
      <c r="AS160" s="948"/>
      <c r="AT160" s="948"/>
      <c r="AU160" s="948"/>
      <c r="AV160" s="948"/>
      <c r="AW160" s="948"/>
      <c r="AX160" s="948"/>
      <c r="AY160" s="948"/>
      <c r="AZ160" s="948"/>
      <c r="BA160" s="948"/>
      <c r="BB160" s="948"/>
      <c r="BC160" s="957"/>
      <c r="BD160" s="957"/>
      <c r="BE160" s="957"/>
      <c r="BF160" s="957"/>
      <c r="BG160" s="957"/>
      <c r="BH160" s="957"/>
      <c r="BI160" s="957"/>
      <c r="BJ160" s="957"/>
      <c r="BK160" s="957"/>
      <c r="BL160" s="948"/>
      <c r="BM160" s="948"/>
      <c r="BN160" s="948"/>
      <c r="BO160" s="948"/>
      <c r="BP160" s="948"/>
      <c r="BQ160" s="948"/>
      <c r="BR160" s="948"/>
      <c r="BS160" s="948"/>
      <c r="BT160" s="955"/>
    </row>
    <row r="161" spans="1:72">
      <c r="A161" s="960" t="s">
        <v>2</v>
      </c>
      <c r="B161" s="960" t="s">
        <v>1084</v>
      </c>
      <c r="C161" s="950"/>
      <c r="D161" s="950"/>
      <c r="E161" s="950"/>
      <c r="F161" s="948"/>
      <c r="G161" s="948"/>
      <c r="H161" s="948"/>
      <c r="I161" s="948"/>
      <c r="J161" s="948"/>
      <c r="K161" s="948"/>
      <c r="L161" s="948"/>
      <c r="M161" s="952"/>
      <c r="N161" s="959" t="str">
        <f>A161</f>
        <v>A</v>
      </c>
      <c r="O161" s="959" t="str">
        <f>B161</f>
        <v>Vertikal</v>
      </c>
      <c r="P161" s="950"/>
      <c r="Q161" s="950"/>
      <c r="R161" s="950"/>
      <c r="S161" s="950"/>
      <c r="T161" s="950"/>
      <c r="U161" s="950"/>
      <c r="V161" s="950"/>
      <c r="W161" s="950"/>
      <c r="X161" s="950"/>
      <c r="Y161" s="950"/>
      <c r="Z161" s="950"/>
      <c r="AA161" s="950"/>
      <c r="AB161" s="950"/>
      <c r="AC161" s="950"/>
      <c r="AD161" s="950"/>
      <c r="AE161" s="950"/>
      <c r="AF161" s="955"/>
      <c r="AG161" s="955"/>
      <c r="AH161" s="955"/>
      <c r="AI161" s="955"/>
      <c r="AJ161" s="955"/>
      <c r="AK161" s="948"/>
      <c r="AL161" s="948"/>
      <c r="AM161" s="948"/>
      <c r="AN161" s="948"/>
      <c r="AO161" s="948"/>
      <c r="AP161" s="948"/>
      <c r="AQ161" s="948"/>
      <c r="AR161" s="948"/>
      <c r="AS161" s="948"/>
      <c r="AT161" s="948"/>
      <c r="AU161" s="948"/>
      <c r="AV161" s="948"/>
      <c r="AW161" s="948"/>
      <c r="AX161" s="948"/>
      <c r="AY161" s="948"/>
      <c r="AZ161" s="948"/>
      <c r="BA161" s="948"/>
      <c r="BB161" s="948"/>
      <c r="BC161" s="957"/>
      <c r="BD161" s="957"/>
      <c r="BE161" s="957"/>
      <c r="BF161" s="957"/>
      <c r="BG161" s="957"/>
      <c r="BH161" s="957"/>
      <c r="BI161" s="957"/>
      <c r="BJ161" s="957"/>
      <c r="BK161" s="957"/>
      <c r="BL161" s="948"/>
      <c r="BM161" s="948"/>
      <c r="BN161" s="948"/>
      <c r="BO161" s="948"/>
      <c r="BP161" s="948"/>
      <c r="BQ161" s="948"/>
      <c r="BR161" s="948"/>
      <c r="BS161" s="948"/>
      <c r="BT161" s="955"/>
    </row>
    <row r="162" spans="1:72">
      <c r="A162" s="952">
        <v>1</v>
      </c>
      <c r="B162" s="952" t="s">
        <v>1085</v>
      </c>
      <c r="C162" s="950" t="s">
        <v>1086</v>
      </c>
      <c r="D162" s="950">
        <v>1</v>
      </c>
      <c r="E162" s="950">
        <v>1</v>
      </c>
      <c r="F162" s="948">
        <v>120</v>
      </c>
      <c r="G162" s="948">
        <v>0.3</v>
      </c>
      <c r="H162" s="948">
        <v>0.7</v>
      </c>
      <c r="I162" s="948">
        <v>0.12</v>
      </c>
      <c r="J162" s="948">
        <f t="shared" ref="J162:J171" si="260">H162-I162</f>
        <v>0.57999999999999996</v>
      </c>
      <c r="K162" s="948">
        <f t="shared" ref="K162:K170" si="261">F162*G162*J162*D162*E162</f>
        <v>20.88</v>
      </c>
      <c r="L162" s="948">
        <f t="shared" ref="L162:L167" si="262">(2*J162)*F162*E162*D162</f>
        <v>139.19999999999999</v>
      </c>
      <c r="M162" s="952"/>
      <c r="N162" s="950">
        <v>19</v>
      </c>
      <c r="O162" s="950">
        <v>19</v>
      </c>
      <c r="P162" s="950">
        <v>19</v>
      </c>
      <c r="Q162" s="950">
        <v>19</v>
      </c>
      <c r="R162" s="950">
        <v>19</v>
      </c>
      <c r="S162" s="950">
        <v>19</v>
      </c>
      <c r="T162" s="950">
        <v>8</v>
      </c>
      <c r="U162" s="950"/>
      <c r="V162" s="950"/>
      <c r="W162" s="950">
        <v>200</v>
      </c>
      <c r="X162" s="950">
        <v>100</v>
      </c>
      <c r="Y162" s="950">
        <v>100</v>
      </c>
      <c r="Z162" s="950">
        <v>9</v>
      </c>
      <c r="AA162" s="950">
        <v>6</v>
      </c>
      <c r="AB162" s="950">
        <v>6</v>
      </c>
      <c r="AC162" s="950">
        <v>6</v>
      </c>
      <c r="AD162" s="950">
        <v>9</v>
      </c>
      <c r="AE162" s="950">
        <v>6</v>
      </c>
      <c r="AF162" s="955">
        <f t="shared" ref="AF162:AF168" si="263">(F162/4)/(W162/1000)+1</f>
        <v>151</v>
      </c>
      <c r="AG162" s="955">
        <f t="shared" ref="AG162:AG171" si="264">(F162/2)/(X162/1000)+1</f>
        <v>601</v>
      </c>
      <c r="AH162" s="955">
        <f>(F162/4)/(Y162/1000)+1</f>
        <v>301</v>
      </c>
      <c r="AI162" s="955">
        <v>0</v>
      </c>
      <c r="AJ162" s="955">
        <v>0</v>
      </c>
      <c r="AK162" s="948">
        <f t="shared" ref="AK162:AK171" si="265">(F162/4)+(20*N162/1000)+(10*N162/1000)+(8*N162/1000)+(6*2*N162/1000)</f>
        <v>30.950000000000003</v>
      </c>
      <c r="AL162" s="948">
        <f t="shared" ref="AL162:AL171" si="266">(F162/4)+(20*O162/1000)+(10*O162/1000)+(8*O162/1000)+(6*2*O162/1000)</f>
        <v>30.950000000000003</v>
      </c>
      <c r="AM162" s="948">
        <f t="shared" ref="AM162:AM171" si="267">(F162/2)+(20*P162/1000)+(6*2*P162/1000)</f>
        <v>60.608000000000004</v>
      </c>
      <c r="AN162" s="948">
        <f t="shared" ref="AN162:AN171" si="268">(F162/2)+(20*Q162/1000)+(6*2*Q162/1000)</f>
        <v>60.608000000000004</v>
      </c>
      <c r="AO162" s="948">
        <f t="shared" ref="AO162:AO171" si="269">(F162/4)+(20*R162/1000)+(10*R162/1000)+(8*R162/1000)+(6*2*R162/1000)</f>
        <v>30.950000000000003</v>
      </c>
      <c r="AP162" s="948">
        <f t="shared" ref="AP162:AP171" si="270">(F162/4)+(20*S162/1000)+(10*S162/1000)+(8*S162/1000)+(6*2*S162/1000)</f>
        <v>30.950000000000003</v>
      </c>
      <c r="AQ162" s="948">
        <f t="shared" ref="AQ162:AQ171" si="271">(2*G162)+(2*H162)+(6*T162/1000)-(8*0.03)</f>
        <v>1.8080000000000001</v>
      </c>
      <c r="AR162" s="948">
        <f t="shared" ref="AR162:AR171" si="272">((H162)+(2*6*U162/1000)-(2*0.03))*AI162</f>
        <v>0</v>
      </c>
      <c r="AS162" s="948">
        <f t="shared" ref="AS162:AS171" si="273">((G162)+(2*6*V162/1000)-(2*0.03))*AJ162</f>
        <v>0</v>
      </c>
      <c r="AT162" s="948">
        <f>AK162*Z162*E162*D162</f>
        <v>278.55</v>
      </c>
      <c r="AU162" s="948">
        <f t="shared" ref="AU162:AU171" si="274">AL162*AA162*E162*D162</f>
        <v>185.70000000000002</v>
      </c>
      <c r="AV162" s="948">
        <f t="shared" ref="AV162:AV171" si="275">AM162*AB162*E162*D162</f>
        <v>363.64800000000002</v>
      </c>
      <c r="AW162" s="948">
        <f t="shared" ref="AW162:AW171" si="276">AN162*AC162*E162*D162</f>
        <v>363.64800000000002</v>
      </c>
      <c r="AX162" s="948">
        <f t="shared" ref="AX162:AX171" si="277">AO162*AD162*E162*D162</f>
        <v>278.55</v>
      </c>
      <c r="AY162" s="948">
        <f t="shared" ref="AY162:AY171" si="278">AP162*AE162*E162*D162</f>
        <v>185.70000000000002</v>
      </c>
      <c r="AZ162" s="948">
        <f t="shared" ref="AZ162:AZ171" si="279">AQ162*(AF162+AG162+AH162)*E162*D162</f>
        <v>1903.8240000000001</v>
      </c>
      <c r="BA162" s="948">
        <f t="shared" ref="BA162:BA171" si="280">AR162*(AF162+AG162+AH162)*E162*D162</f>
        <v>0</v>
      </c>
      <c r="BB162" s="948">
        <f t="shared" ref="BB162:BB171" si="281">AS162*(AF162+AG162+AH162)*E162*D162</f>
        <v>0</v>
      </c>
      <c r="BC162" s="957">
        <f t="shared" ref="BC162:BJ171" si="282">N162*N162*0.074/12</f>
        <v>2.2261666666666664</v>
      </c>
      <c r="BD162" s="957">
        <f t="shared" si="282"/>
        <v>2.2261666666666664</v>
      </c>
      <c r="BE162" s="957">
        <f t="shared" si="282"/>
        <v>2.2261666666666664</v>
      </c>
      <c r="BF162" s="957">
        <f t="shared" si="282"/>
        <v>2.2261666666666664</v>
      </c>
      <c r="BG162" s="957">
        <f t="shared" si="282"/>
        <v>2.2261666666666664</v>
      </c>
      <c r="BH162" s="957">
        <f t="shared" si="282"/>
        <v>2.2261666666666664</v>
      </c>
      <c r="BI162" s="957">
        <f t="shared" si="282"/>
        <v>0.39466666666666667</v>
      </c>
      <c r="BJ162" s="957">
        <f>U162*U162*0.074/12</f>
        <v>0</v>
      </c>
      <c r="BK162" s="957">
        <f t="shared" ref="BK162:BK171" si="283">V162*V162*0.074/12</f>
        <v>0</v>
      </c>
      <c r="BL162" s="948">
        <f>AT162*BC162</f>
        <v>620.09872499999994</v>
      </c>
      <c r="BM162" s="948">
        <f t="shared" ref="BM162:BR171" si="284">AU162*BD162</f>
        <v>413.39914999999996</v>
      </c>
      <c r="BN162" s="948">
        <f t="shared" si="284"/>
        <v>809.54105599999991</v>
      </c>
      <c r="BO162" s="948">
        <f t="shared" si="284"/>
        <v>809.54105599999991</v>
      </c>
      <c r="BP162" s="948">
        <f t="shared" si="284"/>
        <v>620.09872499999994</v>
      </c>
      <c r="BQ162" s="948">
        <f t="shared" si="284"/>
        <v>413.39914999999996</v>
      </c>
      <c r="BR162" s="948">
        <f>AZ162*BI162</f>
        <v>751.37587200000007</v>
      </c>
      <c r="BS162" s="948">
        <f t="shared" ref="BS162:BS170" si="285">BB162*BK162</f>
        <v>0</v>
      </c>
      <c r="BT162" s="955">
        <f t="shared" ref="BT162:BT171" si="286">SUM(BL162:BS162)/K162</f>
        <v>212.52173055555559</v>
      </c>
    </row>
    <row r="163" spans="1:72">
      <c r="A163" s="952">
        <v>2</v>
      </c>
      <c r="B163" s="952" t="s">
        <v>1087</v>
      </c>
      <c r="C163" s="950" t="s">
        <v>1086</v>
      </c>
      <c r="D163" s="950">
        <v>1</v>
      </c>
      <c r="E163" s="950">
        <v>1</v>
      </c>
      <c r="F163" s="948">
        <v>64</v>
      </c>
      <c r="G163" s="948">
        <v>0.3</v>
      </c>
      <c r="H163" s="948">
        <v>0.7</v>
      </c>
      <c r="I163" s="948">
        <v>0.12</v>
      </c>
      <c r="J163" s="948">
        <f t="shared" si="260"/>
        <v>0.57999999999999996</v>
      </c>
      <c r="K163" s="948">
        <f t="shared" si="261"/>
        <v>11.135999999999999</v>
      </c>
      <c r="L163" s="948">
        <f t="shared" si="262"/>
        <v>74.239999999999995</v>
      </c>
      <c r="M163" s="952"/>
      <c r="N163" s="950">
        <v>19</v>
      </c>
      <c r="O163" s="950">
        <v>19</v>
      </c>
      <c r="P163" s="950">
        <v>19</v>
      </c>
      <c r="Q163" s="950">
        <v>19</v>
      </c>
      <c r="R163" s="950">
        <v>19</v>
      </c>
      <c r="S163" s="950">
        <v>19</v>
      </c>
      <c r="T163" s="950">
        <v>8</v>
      </c>
      <c r="U163" s="950"/>
      <c r="V163" s="950"/>
      <c r="W163" s="950">
        <v>200</v>
      </c>
      <c r="X163" s="950">
        <v>100</v>
      </c>
      <c r="Y163" s="950">
        <v>100</v>
      </c>
      <c r="Z163" s="950">
        <v>9</v>
      </c>
      <c r="AA163" s="950">
        <v>6</v>
      </c>
      <c r="AB163" s="950">
        <v>4</v>
      </c>
      <c r="AC163" s="950">
        <v>4</v>
      </c>
      <c r="AD163" s="950">
        <v>9</v>
      </c>
      <c r="AE163" s="950">
        <v>6</v>
      </c>
      <c r="AF163" s="955">
        <f t="shared" si="263"/>
        <v>81</v>
      </c>
      <c r="AG163" s="955">
        <f t="shared" si="264"/>
        <v>321</v>
      </c>
      <c r="AH163" s="955">
        <f t="shared" ref="AH163:AH171" si="287">(F163/4)/(Y163/1000)+1</f>
        <v>161</v>
      </c>
      <c r="AI163" s="955">
        <v>0</v>
      </c>
      <c r="AJ163" s="955">
        <v>0</v>
      </c>
      <c r="AK163" s="948">
        <f t="shared" si="265"/>
        <v>16.950000000000003</v>
      </c>
      <c r="AL163" s="948">
        <f t="shared" si="266"/>
        <v>16.950000000000003</v>
      </c>
      <c r="AM163" s="948">
        <f t="shared" si="267"/>
        <v>32.608000000000004</v>
      </c>
      <c r="AN163" s="948">
        <f t="shared" si="268"/>
        <v>32.608000000000004</v>
      </c>
      <c r="AO163" s="948">
        <f t="shared" si="269"/>
        <v>16.950000000000003</v>
      </c>
      <c r="AP163" s="948">
        <f t="shared" si="270"/>
        <v>16.950000000000003</v>
      </c>
      <c r="AQ163" s="948">
        <f t="shared" si="271"/>
        <v>1.8080000000000001</v>
      </c>
      <c r="AR163" s="948">
        <f t="shared" si="272"/>
        <v>0</v>
      </c>
      <c r="AS163" s="948">
        <f t="shared" si="273"/>
        <v>0</v>
      </c>
      <c r="AT163" s="948">
        <f t="shared" ref="AT163" si="288">AK163*Z163*E163*D163</f>
        <v>152.55000000000001</v>
      </c>
      <c r="AU163" s="948">
        <f t="shared" si="274"/>
        <v>101.70000000000002</v>
      </c>
      <c r="AV163" s="948">
        <f t="shared" si="275"/>
        <v>130.43200000000002</v>
      </c>
      <c r="AW163" s="948">
        <f t="shared" si="276"/>
        <v>130.43200000000002</v>
      </c>
      <c r="AX163" s="948">
        <f t="shared" si="277"/>
        <v>152.55000000000001</v>
      </c>
      <c r="AY163" s="948">
        <f t="shared" si="278"/>
        <v>101.70000000000002</v>
      </c>
      <c r="AZ163" s="948">
        <f t="shared" si="279"/>
        <v>1017.904</v>
      </c>
      <c r="BA163" s="948">
        <f t="shared" si="280"/>
        <v>0</v>
      </c>
      <c r="BB163" s="948">
        <f t="shared" si="281"/>
        <v>0</v>
      </c>
      <c r="BC163" s="957">
        <f t="shared" si="282"/>
        <v>2.2261666666666664</v>
      </c>
      <c r="BD163" s="957">
        <f t="shared" si="282"/>
        <v>2.2261666666666664</v>
      </c>
      <c r="BE163" s="957">
        <f t="shared" si="282"/>
        <v>2.2261666666666664</v>
      </c>
      <c r="BF163" s="957">
        <f t="shared" si="282"/>
        <v>2.2261666666666664</v>
      </c>
      <c r="BG163" s="957">
        <f t="shared" si="282"/>
        <v>2.2261666666666664</v>
      </c>
      <c r="BH163" s="957">
        <f t="shared" si="282"/>
        <v>2.2261666666666664</v>
      </c>
      <c r="BI163" s="957">
        <f t="shared" si="282"/>
        <v>0.39466666666666667</v>
      </c>
      <c r="BJ163" s="957">
        <f t="shared" si="282"/>
        <v>0</v>
      </c>
      <c r="BK163" s="957">
        <f t="shared" si="283"/>
        <v>0</v>
      </c>
      <c r="BL163" s="948">
        <f t="shared" ref="BL163:BL171" si="289">AT163*BC163</f>
        <v>339.60172499999999</v>
      </c>
      <c r="BM163" s="948">
        <f t="shared" si="284"/>
        <v>226.40115</v>
      </c>
      <c r="BN163" s="948">
        <f t="shared" si="284"/>
        <v>290.3633706666667</v>
      </c>
      <c r="BO163" s="948">
        <f t="shared" si="284"/>
        <v>290.3633706666667</v>
      </c>
      <c r="BP163" s="948">
        <f t="shared" si="284"/>
        <v>339.60172499999999</v>
      </c>
      <c r="BQ163" s="948">
        <f t="shared" si="284"/>
        <v>226.40115</v>
      </c>
      <c r="BR163" s="948">
        <f t="shared" si="284"/>
        <v>401.73277866666666</v>
      </c>
      <c r="BS163" s="948">
        <f t="shared" si="285"/>
        <v>0</v>
      </c>
      <c r="BT163" s="955">
        <f t="shared" si="286"/>
        <v>189.87655082614944</v>
      </c>
    </row>
    <row r="164" spans="1:72">
      <c r="A164" s="952">
        <v>3</v>
      </c>
      <c r="B164" s="952" t="s">
        <v>1088</v>
      </c>
      <c r="C164" s="950" t="s">
        <v>1089</v>
      </c>
      <c r="D164" s="950">
        <v>1</v>
      </c>
      <c r="E164" s="950">
        <v>1</v>
      </c>
      <c r="F164" s="948">
        <v>44.8</v>
      </c>
      <c r="G164" s="948">
        <v>0.3</v>
      </c>
      <c r="H164" s="948">
        <v>0.7</v>
      </c>
      <c r="I164" s="948">
        <v>0.12</v>
      </c>
      <c r="J164" s="948">
        <f t="shared" si="260"/>
        <v>0.57999999999999996</v>
      </c>
      <c r="K164" s="948">
        <f t="shared" si="261"/>
        <v>7.7951999999999995</v>
      </c>
      <c r="L164" s="948">
        <f t="shared" si="262"/>
        <v>51.967999999999996</v>
      </c>
      <c r="M164" s="952"/>
      <c r="N164" s="950">
        <v>19</v>
      </c>
      <c r="O164" s="950">
        <v>19</v>
      </c>
      <c r="P164" s="950">
        <v>19</v>
      </c>
      <c r="Q164" s="950">
        <v>19</v>
      </c>
      <c r="R164" s="950">
        <v>19</v>
      </c>
      <c r="S164" s="950">
        <v>19</v>
      </c>
      <c r="T164" s="950">
        <v>8</v>
      </c>
      <c r="U164" s="950"/>
      <c r="V164" s="950"/>
      <c r="W164" s="950">
        <v>200</v>
      </c>
      <c r="X164" s="950">
        <v>100</v>
      </c>
      <c r="Y164" s="950">
        <v>100</v>
      </c>
      <c r="Z164" s="950">
        <v>9</v>
      </c>
      <c r="AA164" s="950">
        <v>6</v>
      </c>
      <c r="AB164" s="950">
        <v>4</v>
      </c>
      <c r="AC164" s="950">
        <v>4</v>
      </c>
      <c r="AD164" s="950">
        <v>9</v>
      </c>
      <c r="AE164" s="950">
        <v>6</v>
      </c>
      <c r="AF164" s="955">
        <f t="shared" si="263"/>
        <v>56.999999999999993</v>
      </c>
      <c r="AG164" s="955">
        <f t="shared" si="264"/>
        <v>224.99999999999997</v>
      </c>
      <c r="AH164" s="955">
        <f t="shared" si="287"/>
        <v>112.99999999999999</v>
      </c>
      <c r="AI164" s="955">
        <v>0</v>
      </c>
      <c r="AJ164" s="955">
        <v>0</v>
      </c>
      <c r="AK164" s="948">
        <f t="shared" si="265"/>
        <v>12.149999999999999</v>
      </c>
      <c r="AL164" s="948">
        <f t="shared" si="266"/>
        <v>12.149999999999999</v>
      </c>
      <c r="AM164" s="948">
        <f t="shared" si="267"/>
        <v>23.007999999999999</v>
      </c>
      <c r="AN164" s="948">
        <f t="shared" si="268"/>
        <v>23.007999999999999</v>
      </c>
      <c r="AO164" s="948">
        <f t="shared" si="269"/>
        <v>12.149999999999999</v>
      </c>
      <c r="AP164" s="948">
        <f t="shared" si="270"/>
        <v>12.149999999999999</v>
      </c>
      <c r="AQ164" s="948">
        <f t="shared" si="271"/>
        <v>1.8080000000000001</v>
      </c>
      <c r="AR164" s="948">
        <f t="shared" si="272"/>
        <v>0</v>
      </c>
      <c r="AS164" s="948">
        <f t="shared" si="273"/>
        <v>0</v>
      </c>
      <c r="AT164" s="948">
        <f>AK164*Z164*E164*D164</f>
        <v>109.35</v>
      </c>
      <c r="AU164" s="948">
        <f t="shared" si="274"/>
        <v>72.899999999999991</v>
      </c>
      <c r="AV164" s="948">
        <f t="shared" si="275"/>
        <v>92.031999999999996</v>
      </c>
      <c r="AW164" s="948">
        <f t="shared" si="276"/>
        <v>92.031999999999996</v>
      </c>
      <c r="AX164" s="948">
        <f t="shared" si="277"/>
        <v>109.35</v>
      </c>
      <c r="AY164" s="948">
        <f t="shared" si="278"/>
        <v>72.899999999999991</v>
      </c>
      <c r="AZ164" s="948">
        <f t="shared" si="279"/>
        <v>714.16</v>
      </c>
      <c r="BA164" s="948">
        <f t="shared" si="280"/>
        <v>0</v>
      </c>
      <c r="BB164" s="948">
        <f t="shared" si="281"/>
        <v>0</v>
      </c>
      <c r="BC164" s="957">
        <f t="shared" si="282"/>
        <v>2.2261666666666664</v>
      </c>
      <c r="BD164" s="957">
        <f t="shared" si="282"/>
        <v>2.2261666666666664</v>
      </c>
      <c r="BE164" s="957">
        <f t="shared" si="282"/>
        <v>2.2261666666666664</v>
      </c>
      <c r="BF164" s="957">
        <f t="shared" si="282"/>
        <v>2.2261666666666664</v>
      </c>
      <c r="BG164" s="957">
        <f t="shared" si="282"/>
        <v>2.2261666666666664</v>
      </c>
      <c r="BH164" s="957">
        <f t="shared" si="282"/>
        <v>2.2261666666666664</v>
      </c>
      <c r="BI164" s="957">
        <f t="shared" si="282"/>
        <v>0.39466666666666667</v>
      </c>
      <c r="BJ164" s="957">
        <f t="shared" si="282"/>
        <v>0</v>
      </c>
      <c r="BK164" s="957">
        <f t="shared" si="283"/>
        <v>0</v>
      </c>
      <c r="BL164" s="948">
        <f t="shared" si="289"/>
        <v>243.43132499999996</v>
      </c>
      <c r="BM164" s="948">
        <f t="shared" si="284"/>
        <v>162.28754999999995</v>
      </c>
      <c r="BN164" s="948">
        <f t="shared" si="284"/>
        <v>204.87857066666663</v>
      </c>
      <c r="BO164" s="948">
        <f t="shared" si="284"/>
        <v>204.87857066666663</v>
      </c>
      <c r="BP164" s="948">
        <f t="shared" si="284"/>
        <v>243.43132499999996</v>
      </c>
      <c r="BQ164" s="948">
        <f t="shared" si="284"/>
        <v>162.28754999999995</v>
      </c>
      <c r="BR164" s="948">
        <f t="shared" si="284"/>
        <v>281.85514666666666</v>
      </c>
      <c r="BS164" s="948">
        <f t="shared" si="285"/>
        <v>0</v>
      </c>
      <c r="BT164" s="955">
        <f t="shared" si="286"/>
        <v>192.81737966954023</v>
      </c>
    </row>
    <row r="165" spans="1:72">
      <c r="A165" s="952">
        <v>4</v>
      </c>
      <c r="B165" s="952" t="s">
        <v>1090</v>
      </c>
      <c r="C165" s="950" t="s">
        <v>1091</v>
      </c>
      <c r="D165" s="950">
        <v>1</v>
      </c>
      <c r="E165" s="950">
        <v>1</v>
      </c>
      <c r="F165" s="948">
        <v>28.8</v>
      </c>
      <c r="G165" s="948">
        <v>0.3</v>
      </c>
      <c r="H165" s="948">
        <v>0.7</v>
      </c>
      <c r="I165" s="948">
        <v>0.12</v>
      </c>
      <c r="J165" s="948">
        <f t="shared" si="260"/>
        <v>0.57999999999999996</v>
      </c>
      <c r="K165" s="948">
        <f t="shared" si="261"/>
        <v>5.0111999999999997</v>
      </c>
      <c r="L165" s="948">
        <f t="shared" si="262"/>
        <v>33.408000000000001</v>
      </c>
      <c r="M165" s="952"/>
      <c r="N165" s="950">
        <v>19</v>
      </c>
      <c r="O165" s="950">
        <v>19</v>
      </c>
      <c r="P165" s="950">
        <v>19</v>
      </c>
      <c r="Q165" s="950">
        <v>19</v>
      </c>
      <c r="R165" s="950">
        <v>19</v>
      </c>
      <c r="S165" s="950">
        <v>19</v>
      </c>
      <c r="T165" s="950">
        <v>8</v>
      </c>
      <c r="U165" s="950"/>
      <c r="V165" s="950"/>
      <c r="W165" s="950">
        <v>200</v>
      </c>
      <c r="X165" s="950">
        <v>100</v>
      </c>
      <c r="Y165" s="950">
        <v>100</v>
      </c>
      <c r="Z165" s="950">
        <v>9</v>
      </c>
      <c r="AA165" s="950">
        <v>6</v>
      </c>
      <c r="AB165" s="950">
        <v>4</v>
      </c>
      <c r="AC165" s="950">
        <v>4</v>
      </c>
      <c r="AD165" s="950">
        <v>9</v>
      </c>
      <c r="AE165" s="950">
        <v>6</v>
      </c>
      <c r="AF165" s="955">
        <f t="shared" si="263"/>
        <v>37</v>
      </c>
      <c r="AG165" s="955">
        <f t="shared" si="264"/>
        <v>145</v>
      </c>
      <c r="AH165" s="955">
        <f t="shared" si="287"/>
        <v>73</v>
      </c>
      <c r="AI165" s="955">
        <v>0</v>
      </c>
      <c r="AJ165" s="955">
        <v>0</v>
      </c>
      <c r="AK165" s="948">
        <f t="shared" si="265"/>
        <v>8.15</v>
      </c>
      <c r="AL165" s="948">
        <f t="shared" si="266"/>
        <v>8.15</v>
      </c>
      <c r="AM165" s="948">
        <f t="shared" si="267"/>
        <v>15.008000000000001</v>
      </c>
      <c r="AN165" s="948">
        <f t="shared" si="268"/>
        <v>15.008000000000001</v>
      </c>
      <c r="AO165" s="948">
        <f t="shared" si="269"/>
        <v>8.15</v>
      </c>
      <c r="AP165" s="948">
        <f t="shared" si="270"/>
        <v>8.15</v>
      </c>
      <c r="AQ165" s="948">
        <f t="shared" si="271"/>
        <v>1.8080000000000001</v>
      </c>
      <c r="AR165" s="948">
        <f t="shared" si="272"/>
        <v>0</v>
      </c>
      <c r="AS165" s="948">
        <f t="shared" si="273"/>
        <v>0</v>
      </c>
      <c r="AT165" s="948">
        <f t="shared" ref="AT165:AT171" si="290">AK165*Z165*E165*D165</f>
        <v>73.350000000000009</v>
      </c>
      <c r="AU165" s="948">
        <f t="shared" si="274"/>
        <v>48.900000000000006</v>
      </c>
      <c r="AV165" s="948">
        <f t="shared" si="275"/>
        <v>60.032000000000004</v>
      </c>
      <c r="AW165" s="948">
        <f t="shared" si="276"/>
        <v>60.032000000000004</v>
      </c>
      <c r="AX165" s="948">
        <f t="shared" si="277"/>
        <v>73.350000000000009</v>
      </c>
      <c r="AY165" s="948">
        <f t="shared" si="278"/>
        <v>48.900000000000006</v>
      </c>
      <c r="AZ165" s="948">
        <f t="shared" si="279"/>
        <v>461.04</v>
      </c>
      <c r="BA165" s="948">
        <f t="shared" si="280"/>
        <v>0</v>
      </c>
      <c r="BB165" s="948">
        <f t="shared" si="281"/>
        <v>0</v>
      </c>
      <c r="BC165" s="957">
        <f t="shared" si="282"/>
        <v>2.2261666666666664</v>
      </c>
      <c r="BD165" s="957">
        <f t="shared" si="282"/>
        <v>2.2261666666666664</v>
      </c>
      <c r="BE165" s="957">
        <f t="shared" si="282"/>
        <v>2.2261666666666664</v>
      </c>
      <c r="BF165" s="957">
        <f t="shared" si="282"/>
        <v>2.2261666666666664</v>
      </c>
      <c r="BG165" s="957">
        <f t="shared" si="282"/>
        <v>2.2261666666666664</v>
      </c>
      <c r="BH165" s="957">
        <f t="shared" si="282"/>
        <v>2.2261666666666664</v>
      </c>
      <c r="BI165" s="957">
        <f t="shared" si="282"/>
        <v>0.39466666666666667</v>
      </c>
      <c r="BJ165" s="957">
        <f t="shared" si="282"/>
        <v>0</v>
      </c>
      <c r="BK165" s="957">
        <f t="shared" si="283"/>
        <v>0</v>
      </c>
      <c r="BL165" s="948">
        <f t="shared" si="289"/>
        <v>163.28932499999999</v>
      </c>
      <c r="BM165" s="948">
        <f t="shared" si="284"/>
        <v>108.85955</v>
      </c>
      <c r="BN165" s="948">
        <f t="shared" si="284"/>
        <v>133.64123733333332</v>
      </c>
      <c r="BO165" s="948">
        <f t="shared" si="284"/>
        <v>133.64123733333332</v>
      </c>
      <c r="BP165" s="948">
        <f t="shared" si="284"/>
        <v>163.28932499999999</v>
      </c>
      <c r="BQ165" s="948">
        <f t="shared" si="284"/>
        <v>108.85955</v>
      </c>
      <c r="BR165" s="948">
        <f t="shared" si="284"/>
        <v>181.95712</v>
      </c>
      <c r="BS165" s="948">
        <f t="shared" si="285"/>
        <v>0</v>
      </c>
      <c r="BT165" s="955">
        <f t="shared" si="286"/>
        <v>198.26335900915285</v>
      </c>
    </row>
    <row r="166" spans="1:72">
      <c r="A166" s="952">
        <v>5</v>
      </c>
      <c r="B166" s="952" t="s">
        <v>1092</v>
      </c>
      <c r="C166" s="950" t="s">
        <v>1093</v>
      </c>
      <c r="D166" s="950">
        <v>1</v>
      </c>
      <c r="E166" s="950">
        <v>1</v>
      </c>
      <c r="F166" s="948">
        <v>80</v>
      </c>
      <c r="G166" s="948">
        <v>0.25</v>
      </c>
      <c r="H166" s="948">
        <v>0.6</v>
      </c>
      <c r="I166" s="948">
        <v>0.12</v>
      </c>
      <c r="J166" s="948">
        <f t="shared" si="260"/>
        <v>0.48</v>
      </c>
      <c r="K166" s="948">
        <f t="shared" si="261"/>
        <v>9.6</v>
      </c>
      <c r="L166" s="948">
        <f t="shared" si="262"/>
        <v>76.8</v>
      </c>
      <c r="M166" s="952"/>
      <c r="N166" s="950">
        <v>16</v>
      </c>
      <c r="O166" s="950">
        <v>16</v>
      </c>
      <c r="P166" s="950">
        <v>16</v>
      </c>
      <c r="Q166" s="950">
        <v>16</v>
      </c>
      <c r="R166" s="950">
        <v>16</v>
      </c>
      <c r="S166" s="950">
        <v>16</v>
      </c>
      <c r="T166" s="950">
        <v>8</v>
      </c>
      <c r="U166" s="950"/>
      <c r="V166" s="950"/>
      <c r="W166" s="950">
        <v>200</v>
      </c>
      <c r="X166" s="950">
        <v>100</v>
      </c>
      <c r="Y166" s="950">
        <v>100</v>
      </c>
      <c r="Z166" s="950">
        <v>9</v>
      </c>
      <c r="AA166" s="950">
        <v>6</v>
      </c>
      <c r="AB166" s="950">
        <v>4</v>
      </c>
      <c r="AC166" s="950">
        <v>4</v>
      </c>
      <c r="AD166" s="950">
        <v>9</v>
      </c>
      <c r="AE166" s="950">
        <v>6</v>
      </c>
      <c r="AF166" s="955">
        <f t="shared" si="263"/>
        <v>101</v>
      </c>
      <c r="AG166" s="955">
        <f t="shared" si="264"/>
        <v>401</v>
      </c>
      <c r="AH166" s="955">
        <f t="shared" si="287"/>
        <v>201</v>
      </c>
      <c r="AI166" s="955">
        <v>0</v>
      </c>
      <c r="AJ166" s="955">
        <v>0</v>
      </c>
      <c r="AK166" s="948">
        <f t="shared" si="265"/>
        <v>20.8</v>
      </c>
      <c r="AL166" s="948">
        <f t="shared" si="266"/>
        <v>20.8</v>
      </c>
      <c r="AM166" s="948">
        <f t="shared" si="267"/>
        <v>40.512</v>
      </c>
      <c r="AN166" s="948">
        <f t="shared" si="268"/>
        <v>40.512</v>
      </c>
      <c r="AO166" s="948">
        <f t="shared" si="269"/>
        <v>20.8</v>
      </c>
      <c r="AP166" s="948">
        <f t="shared" si="270"/>
        <v>20.8</v>
      </c>
      <c r="AQ166" s="948">
        <f t="shared" si="271"/>
        <v>1.508</v>
      </c>
      <c r="AR166" s="948">
        <f t="shared" si="272"/>
        <v>0</v>
      </c>
      <c r="AS166" s="948">
        <f t="shared" si="273"/>
        <v>0</v>
      </c>
      <c r="AT166" s="948">
        <f t="shared" si="290"/>
        <v>187.20000000000002</v>
      </c>
      <c r="AU166" s="948">
        <f t="shared" si="274"/>
        <v>124.80000000000001</v>
      </c>
      <c r="AV166" s="948">
        <f t="shared" si="275"/>
        <v>162.048</v>
      </c>
      <c r="AW166" s="948">
        <f t="shared" si="276"/>
        <v>162.048</v>
      </c>
      <c r="AX166" s="948">
        <f t="shared" si="277"/>
        <v>187.20000000000002</v>
      </c>
      <c r="AY166" s="948">
        <f t="shared" si="278"/>
        <v>124.80000000000001</v>
      </c>
      <c r="AZ166" s="948">
        <f t="shared" si="279"/>
        <v>1060.124</v>
      </c>
      <c r="BA166" s="948">
        <f t="shared" si="280"/>
        <v>0</v>
      </c>
      <c r="BB166" s="948">
        <f t="shared" si="281"/>
        <v>0</v>
      </c>
      <c r="BC166" s="957">
        <f t="shared" si="282"/>
        <v>1.5786666666666667</v>
      </c>
      <c r="BD166" s="957">
        <f t="shared" si="282"/>
        <v>1.5786666666666667</v>
      </c>
      <c r="BE166" s="957">
        <f t="shared" si="282"/>
        <v>1.5786666666666667</v>
      </c>
      <c r="BF166" s="957">
        <f t="shared" si="282"/>
        <v>1.5786666666666667</v>
      </c>
      <c r="BG166" s="957">
        <f t="shared" si="282"/>
        <v>1.5786666666666667</v>
      </c>
      <c r="BH166" s="957">
        <f t="shared" si="282"/>
        <v>1.5786666666666667</v>
      </c>
      <c r="BI166" s="957">
        <f t="shared" si="282"/>
        <v>0.39466666666666667</v>
      </c>
      <c r="BJ166" s="957">
        <f t="shared" si="282"/>
        <v>0</v>
      </c>
      <c r="BK166" s="957">
        <f t="shared" si="283"/>
        <v>0</v>
      </c>
      <c r="BL166" s="948">
        <f t="shared" si="289"/>
        <v>295.52640000000002</v>
      </c>
      <c r="BM166" s="948">
        <f t="shared" si="284"/>
        <v>197.01760000000002</v>
      </c>
      <c r="BN166" s="948">
        <f t="shared" si="284"/>
        <v>255.81977599999999</v>
      </c>
      <c r="BO166" s="948">
        <f t="shared" si="284"/>
        <v>255.81977599999999</v>
      </c>
      <c r="BP166" s="948">
        <f t="shared" si="284"/>
        <v>295.52640000000002</v>
      </c>
      <c r="BQ166" s="948">
        <f t="shared" si="284"/>
        <v>197.01760000000002</v>
      </c>
      <c r="BR166" s="948">
        <f t="shared" si="284"/>
        <v>418.39560533333332</v>
      </c>
      <c r="BS166" s="948">
        <f t="shared" si="285"/>
        <v>0</v>
      </c>
      <c r="BT166" s="955">
        <f t="shared" si="286"/>
        <v>199.49199555555555</v>
      </c>
    </row>
    <row r="167" spans="1:72">
      <c r="A167" s="952">
        <v>6</v>
      </c>
      <c r="B167" s="952" t="s">
        <v>1094</v>
      </c>
      <c r="C167" s="950" t="s">
        <v>1095</v>
      </c>
      <c r="D167" s="950">
        <v>1</v>
      </c>
      <c r="E167" s="950">
        <v>1</v>
      </c>
      <c r="F167" s="948">
        <v>80</v>
      </c>
      <c r="G167" s="948">
        <v>0.3</v>
      </c>
      <c r="H167" s="948">
        <v>0.7</v>
      </c>
      <c r="I167" s="948">
        <v>0.12</v>
      </c>
      <c r="J167" s="948">
        <f t="shared" si="260"/>
        <v>0.57999999999999996</v>
      </c>
      <c r="K167" s="948">
        <f t="shared" si="261"/>
        <v>13.919999999999998</v>
      </c>
      <c r="L167" s="948">
        <f t="shared" si="262"/>
        <v>92.8</v>
      </c>
      <c r="M167" s="952"/>
      <c r="N167" s="950">
        <v>25</v>
      </c>
      <c r="O167" s="950">
        <v>25</v>
      </c>
      <c r="P167" s="950">
        <v>25</v>
      </c>
      <c r="Q167" s="950">
        <v>25</v>
      </c>
      <c r="R167" s="950">
        <v>25</v>
      </c>
      <c r="S167" s="950">
        <v>25</v>
      </c>
      <c r="T167" s="950">
        <v>8</v>
      </c>
      <c r="U167" s="950"/>
      <c r="V167" s="950"/>
      <c r="W167" s="950">
        <v>200</v>
      </c>
      <c r="X167" s="950">
        <v>100</v>
      </c>
      <c r="Y167" s="950">
        <v>100</v>
      </c>
      <c r="Z167" s="950">
        <v>9</v>
      </c>
      <c r="AA167" s="950">
        <v>6</v>
      </c>
      <c r="AB167" s="950">
        <v>4</v>
      </c>
      <c r="AC167" s="950">
        <v>4</v>
      </c>
      <c r="AD167" s="950">
        <v>9</v>
      </c>
      <c r="AE167" s="950">
        <v>6</v>
      </c>
      <c r="AF167" s="955">
        <f t="shared" si="263"/>
        <v>101</v>
      </c>
      <c r="AG167" s="955">
        <f t="shared" si="264"/>
        <v>401</v>
      </c>
      <c r="AH167" s="955">
        <f t="shared" si="287"/>
        <v>201</v>
      </c>
      <c r="AI167" s="955">
        <v>0</v>
      </c>
      <c r="AJ167" s="955">
        <v>0</v>
      </c>
      <c r="AK167" s="948">
        <f t="shared" si="265"/>
        <v>21.25</v>
      </c>
      <c r="AL167" s="948">
        <f t="shared" si="266"/>
        <v>21.25</v>
      </c>
      <c r="AM167" s="948">
        <f t="shared" si="267"/>
        <v>40.799999999999997</v>
      </c>
      <c r="AN167" s="948">
        <f t="shared" si="268"/>
        <v>40.799999999999997</v>
      </c>
      <c r="AO167" s="948">
        <f t="shared" si="269"/>
        <v>21.25</v>
      </c>
      <c r="AP167" s="948">
        <f t="shared" si="270"/>
        <v>21.25</v>
      </c>
      <c r="AQ167" s="948">
        <f t="shared" si="271"/>
        <v>1.8080000000000001</v>
      </c>
      <c r="AR167" s="948">
        <f t="shared" si="272"/>
        <v>0</v>
      </c>
      <c r="AS167" s="948">
        <f t="shared" si="273"/>
        <v>0</v>
      </c>
      <c r="AT167" s="948">
        <f t="shared" si="290"/>
        <v>191.25</v>
      </c>
      <c r="AU167" s="948">
        <f t="shared" si="274"/>
        <v>127.5</v>
      </c>
      <c r="AV167" s="948">
        <f t="shared" si="275"/>
        <v>163.19999999999999</v>
      </c>
      <c r="AW167" s="948">
        <f t="shared" si="276"/>
        <v>163.19999999999999</v>
      </c>
      <c r="AX167" s="948">
        <f t="shared" si="277"/>
        <v>191.25</v>
      </c>
      <c r="AY167" s="948">
        <f t="shared" si="278"/>
        <v>127.5</v>
      </c>
      <c r="AZ167" s="948">
        <f t="shared" si="279"/>
        <v>1271.0240000000001</v>
      </c>
      <c r="BA167" s="948">
        <f t="shared" si="280"/>
        <v>0</v>
      </c>
      <c r="BB167" s="948">
        <f t="shared" si="281"/>
        <v>0</v>
      </c>
      <c r="BC167" s="957">
        <f t="shared" si="282"/>
        <v>3.8541666666666665</v>
      </c>
      <c r="BD167" s="957">
        <f t="shared" si="282"/>
        <v>3.8541666666666665</v>
      </c>
      <c r="BE167" s="957">
        <f t="shared" si="282"/>
        <v>3.8541666666666665</v>
      </c>
      <c r="BF167" s="957">
        <f t="shared" si="282"/>
        <v>3.8541666666666665</v>
      </c>
      <c r="BG167" s="957">
        <f t="shared" si="282"/>
        <v>3.8541666666666665</v>
      </c>
      <c r="BH167" s="957">
        <f t="shared" si="282"/>
        <v>3.8541666666666665</v>
      </c>
      <c r="BI167" s="957">
        <f t="shared" si="282"/>
        <v>0.39466666666666667</v>
      </c>
      <c r="BJ167" s="957">
        <f t="shared" si="282"/>
        <v>0</v>
      </c>
      <c r="BK167" s="957">
        <f t="shared" si="283"/>
        <v>0</v>
      </c>
      <c r="BL167" s="948">
        <f t="shared" si="289"/>
        <v>737.109375</v>
      </c>
      <c r="BM167" s="948">
        <f t="shared" si="284"/>
        <v>491.40625</v>
      </c>
      <c r="BN167" s="948">
        <f t="shared" si="284"/>
        <v>628.99999999999989</v>
      </c>
      <c r="BO167" s="948">
        <f t="shared" si="284"/>
        <v>628.99999999999989</v>
      </c>
      <c r="BP167" s="948">
        <f t="shared" si="284"/>
        <v>737.109375</v>
      </c>
      <c r="BQ167" s="948">
        <f t="shared" si="284"/>
        <v>491.40625</v>
      </c>
      <c r="BR167" s="948">
        <f t="shared" si="284"/>
        <v>501.6308053333334</v>
      </c>
      <c r="BS167" s="948">
        <f t="shared" si="285"/>
        <v>0</v>
      </c>
      <c r="BT167" s="955">
        <f t="shared" si="286"/>
        <v>302.92112466475101</v>
      </c>
    </row>
    <row r="168" spans="1:72">
      <c r="A168" s="952">
        <v>7</v>
      </c>
      <c r="B168" s="952" t="s">
        <v>1096</v>
      </c>
      <c r="C168" s="950" t="s">
        <v>1097</v>
      </c>
      <c r="D168" s="950">
        <v>1</v>
      </c>
      <c r="E168" s="950">
        <v>1</v>
      </c>
      <c r="F168" s="948">
        <v>64</v>
      </c>
      <c r="G168" s="948">
        <f>G167</f>
        <v>0.3</v>
      </c>
      <c r="H168" s="948">
        <f>H167</f>
        <v>0.7</v>
      </c>
      <c r="I168" s="948">
        <v>0.12</v>
      </c>
      <c r="J168" s="948">
        <f t="shared" si="260"/>
        <v>0.57999999999999996</v>
      </c>
      <c r="K168" s="948">
        <f t="shared" si="261"/>
        <v>11.135999999999999</v>
      </c>
      <c r="L168" s="948">
        <f>(2*J168)*F168*E168*D146</f>
        <v>74.239999999999995</v>
      </c>
      <c r="M168" s="952"/>
      <c r="N168" s="950">
        <v>19</v>
      </c>
      <c r="O168" s="950">
        <v>19</v>
      </c>
      <c r="P168" s="950">
        <v>19</v>
      </c>
      <c r="Q168" s="950">
        <v>19</v>
      </c>
      <c r="R168" s="950">
        <v>19</v>
      </c>
      <c r="S168" s="950">
        <v>19</v>
      </c>
      <c r="T168" s="950">
        <v>8</v>
      </c>
      <c r="U168" s="950"/>
      <c r="V168" s="950"/>
      <c r="W168" s="950">
        <v>200</v>
      </c>
      <c r="X168" s="950">
        <v>100</v>
      </c>
      <c r="Y168" s="950">
        <v>100</v>
      </c>
      <c r="Z168" s="950">
        <v>9</v>
      </c>
      <c r="AA168" s="950">
        <v>6</v>
      </c>
      <c r="AB168" s="950">
        <v>4</v>
      </c>
      <c r="AC168" s="950">
        <v>4</v>
      </c>
      <c r="AD168" s="950">
        <v>9</v>
      </c>
      <c r="AE168" s="950">
        <v>6</v>
      </c>
      <c r="AF168" s="955">
        <f t="shared" si="263"/>
        <v>81</v>
      </c>
      <c r="AG168" s="955">
        <f t="shared" si="264"/>
        <v>321</v>
      </c>
      <c r="AH168" s="955">
        <f t="shared" si="287"/>
        <v>161</v>
      </c>
      <c r="AI168" s="955">
        <v>0</v>
      </c>
      <c r="AJ168" s="955">
        <v>0</v>
      </c>
      <c r="AK168" s="948">
        <f t="shared" si="265"/>
        <v>16.950000000000003</v>
      </c>
      <c r="AL168" s="948">
        <f t="shared" si="266"/>
        <v>16.950000000000003</v>
      </c>
      <c r="AM168" s="948">
        <f t="shared" si="267"/>
        <v>32.608000000000004</v>
      </c>
      <c r="AN168" s="948">
        <f t="shared" si="268"/>
        <v>32.608000000000004</v>
      </c>
      <c r="AO168" s="948">
        <f t="shared" si="269"/>
        <v>16.950000000000003</v>
      </c>
      <c r="AP168" s="948">
        <f t="shared" si="270"/>
        <v>16.950000000000003</v>
      </c>
      <c r="AQ168" s="948">
        <f t="shared" si="271"/>
        <v>1.8080000000000001</v>
      </c>
      <c r="AR168" s="948">
        <f t="shared" si="272"/>
        <v>0</v>
      </c>
      <c r="AS168" s="948">
        <f t="shared" si="273"/>
        <v>0</v>
      </c>
      <c r="AT168" s="948">
        <f t="shared" si="290"/>
        <v>152.55000000000001</v>
      </c>
      <c r="AU168" s="948">
        <f t="shared" si="274"/>
        <v>101.70000000000002</v>
      </c>
      <c r="AV168" s="948">
        <f t="shared" si="275"/>
        <v>130.43200000000002</v>
      </c>
      <c r="AW168" s="948">
        <f t="shared" si="276"/>
        <v>130.43200000000002</v>
      </c>
      <c r="AX168" s="948">
        <f t="shared" si="277"/>
        <v>152.55000000000001</v>
      </c>
      <c r="AY168" s="948">
        <f t="shared" si="278"/>
        <v>101.70000000000002</v>
      </c>
      <c r="AZ168" s="948">
        <f t="shared" si="279"/>
        <v>1017.904</v>
      </c>
      <c r="BA168" s="948">
        <f t="shared" si="280"/>
        <v>0</v>
      </c>
      <c r="BB168" s="948">
        <f t="shared" si="281"/>
        <v>0</v>
      </c>
      <c r="BC168" s="957">
        <f t="shared" si="282"/>
        <v>2.2261666666666664</v>
      </c>
      <c r="BD168" s="957">
        <f t="shared" si="282"/>
        <v>2.2261666666666664</v>
      </c>
      <c r="BE168" s="957">
        <f t="shared" si="282"/>
        <v>2.2261666666666664</v>
      </c>
      <c r="BF168" s="957">
        <f t="shared" si="282"/>
        <v>2.2261666666666664</v>
      </c>
      <c r="BG168" s="957">
        <f t="shared" si="282"/>
        <v>2.2261666666666664</v>
      </c>
      <c r="BH168" s="957">
        <f t="shared" si="282"/>
        <v>2.2261666666666664</v>
      </c>
      <c r="BI168" s="957">
        <f t="shared" si="282"/>
        <v>0.39466666666666667</v>
      </c>
      <c r="BJ168" s="957">
        <f t="shared" si="282"/>
        <v>0</v>
      </c>
      <c r="BK168" s="957">
        <f t="shared" si="283"/>
        <v>0</v>
      </c>
      <c r="BL168" s="948">
        <f t="shared" si="289"/>
        <v>339.60172499999999</v>
      </c>
      <c r="BM168" s="948">
        <f t="shared" si="284"/>
        <v>226.40115</v>
      </c>
      <c r="BN168" s="948">
        <f t="shared" si="284"/>
        <v>290.3633706666667</v>
      </c>
      <c r="BO168" s="948">
        <f t="shared" si="284"/>
        <v>290.3633706666667</v>
      </c>
      <c r="BP168" s="948">
        <f t="shared" si="284"/>
        <v>339.60172499999999</v>
      </c>
      <c r="BQ168" s="948">
        <f>AY168*BH168</f>
        <v>226.40115</v>
      </c>
      <c r="BR168" s="948">
        <f t="shared" si="284"/>
        <v>401.73277866666666</v>
      </c>
      <c r="BS168" s="948">
        <f t="shared" si="285"/>
        <v>0</v>
      </c>
      <c r="BT168" s="955">
        <f t="shared" si="286"/>
        <v>189.87655082614944</v>
      </c>
    </row>
    <row r="169" spans="1:72">
      <c r="A169" s="952">
        <v>8</v>
      </c>
      <c r="B169" s="952" t="s">
        <v>1098</v>
      </c>
      <c r="C169" s="950" t="s">
        <v>1099</v>
      </c>
      <c r="D169" s="950">
        <v>1</v>
      </c>
      <c r="E169" s="950">
        <v>1</v>
      </c>
      <c r="F169" s="948">
        <v>56</v>
      </c>
      <c r="G169" s="948">
        <v>0.25</v>
      </c>
      <c r="H169" s="948">
        <v>0.6</v>
      </c>
      <c r="I169" s="948">
        <v>0.12</v>
      </c>
      <c r="J169" s="948">
        <f t="shared" si="260"/>
        <v>0.48</v>
      </c>
      <c r="K169" s="948">
        <f t="shared" si="261"/>
        <v>6.72</v>
      </c>
      <c r="L169" s="948">
        <f>(2*J169)*F169*E169*D169</f>
        <v>53.76</v>
      </c>
      <c r="M169" s="952"/>
      <c r="N169" s="950">
        <v>16</v>
      </c>
      <c r="O169" s="950">
        <v>16</v>
      </c>
      <c r="P169" s="950">
        <v>16</v>
      </c>
      <c r="Q169" s="950">
        <v>16</v>
      </c>
      <c r="R169" s="950">
        <v>16</v>
      </c>
      <c r="S169" s="950">
        <v>16</v>
      </c>
      <c r="T169" s="950">
        <v>8</v>
      </c>
      <c r="U169" s="950"/>
      <c r="V169" s="950"/>
      <c r="W169" s="950">
        <v>200</v>
      </c>
      <c r="X169" s="950">
        <v>100</v>
      </c>
      <c r="Y169" s="950">
        <v>100</v>
      </c>
      <c r="Z169" s="950">
        <v>9</v>
      </c>
      <c r="AA169" s="950">
        <v>6</v>
      </c>
      <c r="AB169" s="950">
        <v>4</v>
      </c>
      <c r="AC169" s="950">
        <v>4</v>
      </c>
      <c r="AD169" s="950">
        <v>9</v>
      </c>
      <c r="AE169" s="950">
        <v>6</v>
      </c>
      <c r="AF169" s="955">
        <f>(F169/4)/(W169/1000)+1</f>
        <v>71</v>
      </c>
      <c r="AG169" s="955">
        <f t="shared" si="264"/>
        <v>281</v>
      </c>
      <c r="AH169" s="955">
        <f t="shared" si="287"/>
        <v>141</v>
      </c>
      <c r="AI169" s="955">
        <v>0</v>
      </c>
      <c r="AJ169" s="955">
        <v>0</v>
      </c>
      <c r="AK169" s="948">
        <f t="shared" si="265"/>
        <v>14.8</v>
      </c>
      <c r="AL169" s="948">
        <f t="shared" si="266"/>
        <v>14.8</v>
      </c>
      <c r="AM169" s="948">
        <f t="shared" si="267"/>
        <v>28.512</v>
      </c>
      <c r="AN169" s="948">
        <f t="shared" si="268"/>
        <v>28.512</v>
      </c>
      <c r="AO169" s="948">
        <f t="shared" si="269"/>
        <v>14.8</v>
      </c>
      <c r="AP169" s="948">
        <f t="shared" si="270"/>
        <v>14.8</v>
      </c>
      <c r="AQ169" s="948">
        <f t="shared" si="271"/>
        <v>1.508</v>
      </c>
      <c r="AR169" s="948">
        <f t="shared" si="272"/>
        <v>0</v>
      </c>
      <c r="AS169" s="948">
        <f t="shared" si="273"/>
        <v>0</v>
      </c>
      <c r="AT169" s="948">
        <f t="shared" si="290"/>
        <v>133.20000000000002</v>
      </c>
      <c r="AU169" s="948">
        <f t="shared" si="274"/>
        <v>88.800000000000011</v>
      </c>
      <c r="AV169" s="948">
        <f t="shared" si="275"/>
        <v>114.048</v>
      </c>
      <c r="AW169" s="948">
        <f t="shared" si="276"/>
        <v>114.048</v>
      </c>
      <c r="AX169" s="948">
        <f t="shared" si="277"/>
        <v>133.20000000000002</v>
      </c>
      <c r="AY169" s="948">
        <f t="shared" si="278"/>
        <v>88.800000000000011</v>
      </c>
      <c r="AZ169" s="948">
        <f t="shared" si="279"/>
        <v>743.44399999999996</v>
      </c>
      <c r="BA169" s="948">
        <f t="shared" si="280"/>
        <v>0</v>
      </c>
      <c r="BB169" s="948">
        <f t="shared" si="281"/>
        <v>0</v>
      </c>
      <c r="BC169" s="957">
        <f t="shared" si="282"/>
        <v>1.5786666666666667</v>
      </c>
      <c r="BD169" s="957">
        <f t="shared" si="282"/>
        <v>1.5786666666666667</v>
      </c>
      <c r="BE169" s="957">
        <f t="shared" si="282"/>
        <v>1.5786666666666667</v>
      </c>
      <c r="BF169" s="957">
        <f t="shared" si="282"/>
        <v>1.5786666666666667</v>
      </c>
      <c r="BG169" s="957">
        <f t="shared" si="282"/>
        <v>1.5786666666666667</v>
      </c>
      <c r="BH169" s="957">
        <f t="shared" si="282"/>
        <v>1.5786666666666667</v>
      </c>
      <c r="BI169" s="957">
        <f t="shared" si="282"/>
        <v>0.39466666666666667</v>
      </c>
      <c r="BJ169" s="957">
        <f t="shared" si="282"/>
        <v>0</v>
      </c>
      <c r="BK169" s="957">
        <f t="shared" si="283"/>
        <v>0</v>
      </c>
      <c r="BL169" s="948">
        <f t="shared" si="289"/>
        <v>210.27840000000003</v>
      </c>
      <c r="BM169" s="948">
        <f t="shared" si="284"/>
        <v>140.18560000000002</v>
      </c>
      <c r="BN169" s="948">
        <f t="shared" si="284"/>
        <v>180.04377600000001</v>
      </c>
      <c r="BO169" s="948">
        <f t="shared" si="284"/>
        <v>180.04377600000001</v>
      </c>
      <c r="BP169" s="948">
        <f t="shared" si="284"/>
        <v>210.27840000000003</v>
      </c>
      <c r="BQ169" s="948">
        <f t="shared" si="284"/>
        <v>140.18560000000002</v>
      </c>
      <c r="BR169" s="948">
        <f t="shared" si="284"/>
        <v>293.4125653333333</v>
      </c>
      <c r="BS169" s="948">
        <f t="shared" si="285"/>
        <v>0</v>
      </c>
      <c r="BT169" s="955">
        <f t="shared" si="286"/>
        <v>201.55180317460318</v>
      </c>
    </row>
    <row r="170" spans="1:72">
      <c r="A170" s="952">
        <v>9</v>
      </c>
      <c r="B170" s="952" t="s">
        <v>1100</v>
      </c>
      <c r="C170" s="950" t="s">
        <v>1101</v>
      </c>
      <c r="D170" s="950">
        <v>1</v>
      </c>
      <c r="E170" s="950">
        <v>1</v>
      </c>
      <c r="F170" s="948">
        <v>28</v>
      </c>
      <c r="G170" s="948">
        <f>G169</f>
        <v>0.25</v>
      </c>
      <c r="H170" s="948">
        <v>0.6</v>
      </c>
      <c r="I170" s="948">
        <v>0.12</v>
      </c>
      <c r="J170" s="948">
        <f t="shared" si="260"/>
        <v>0.48</v>
      </c>
      <c r="K170" s="948">
        <f t="shared" si="261"/>
        <v>3.36</v>
      </c>
      <c r="L170" s="948">
        <f>(2*J170)*F170*E170*D170</f>
        <v>26.88</v>
      </c>
      <c r="M170" s="952"/>
      <c r="N170" s="950">
        <v>16</v>
      </c>
      <c r="O170" s="950">
        <v>16</v>
      </c>
      <c r="P170" s="950">
        <v>16</v>
      </c>
      <c r="Q170" s="950">
        <v>16</v>
      </c>
      <c r="R170" s="950">
        <v>16</v>
      </c>
      <c r="S170" s="950">
        <v>16</v>
      </c>
      <c r="T170" s="950">
        <v>8</v>
      </c>
      <c r="U170" s="950"/>
      <c r="V170" s="950"/>
      <c r="W170" s="950">
        <v>200</v>
      </c>
      <c r="X170" s="950">
        <v>100</v>
      </c>
      <c r="Y170" s="950">
        <v>100</v>
      </c>
      <c r="Z170" s="950">
        <v>9</v>
      </c>
      <c r="AA170" s="950">
        <v>6</v>
      </c>
      <c r="AB170" s="950">
        <v>4</v>
      </c>
      <c r="AC170" s="950">
        <v>4</v>
      </c>
      <c r="AD170" s="950">
        <v>9</v>
      </c>
      <c r="AE170" s="950">
        <v>6</v>
      </c>
      <c r="AF170" s="955">
        <f>(F170/4)/(W170/1000)+1</f>
        <v>36</v>
      </c>
      <c r="AG170" s="955">
        <f t="shared" si="264"/>
        <v>141</v>
      </c>
      <c r="AH170" s="955">
        <f t="shared" si="287"/>
        <v>71</v>
      </c>
      <c r="AI170" s="955">
        <v>0</v>
      </c>
      <c r="AJ170" s="955">
        <v>0</v>
      </c>
      <c r="AK170" s="948">
        <f t="shared" si="265"/>
        <v>7.8000000000000007</v>
      </c>
      <c r="AL170" s="948">
        <f t="shared" si="266"/>
        <v>7.8000000000000007</v>
      </c>
      <c r="AM170" s="948">
        <f t="shared" si="267"/>
        <v>14.512</v>
      </c>
      <c r="AN170" s="948">
        <f t="shared" si="268"/>
        <v>14.512</v>
      </c>
      <c r="AO170" s="948">
        <f t="shared" si="269"/>
        <v>7.8000000000000007</v>
      </c>
      <c r="AP170" s="948">
        <f t="shared" si="270"/>
        <v>7.8000000000000007</v>
      </c>
      <c r="AQ170" s="948">
        <f t="shared" si="271"/>
        <v>1.508</v>
      </c>
      <c r="AR170" s="948">
        <f t="shared" si="272"/>
        <v>0</v>
      </c>
      <c r="AS170" s="948">
        <f t="shared" si="273"/>
        <v>0</v>
      </c>
      <c r="AT170" s="948">
        <f t="shared" si="290"/>
        <v>70.2</v>
      </c>
      <c r="AU170" s="948">
        <f t="shared" si="274"/>
        <v>46.800000000000004</v>
      </c>
      <c r="AV170" s="948">
        <f t="shared" si="275"/>
        <v>58.048000000000002</v>
      </c>
      <c r="AW170" s="948">
        <f t="shared" si="276"/>
        <v>58.048000000000002</v>
      </c>
      <c r="AX170" s="948">
        <f t="shared" si="277"/>
        <v>70.2</v>
      </c>
      <c r="AY170" s="948">
        <f t="shared" si="278"/>
        <v>46.800000000000004</v>
      </c>
      <c r="AZ170" s="948">
        <f t="shared" si="279"/>
        <v>373.98399999999998</v>
      </c>
      <c r="BA170" s="948">
        <f t="shared" si="280"/>
        <v>0</v>
      </c>
      <c r="BB170" s="948">
        <f t="shared" si="281"/>
        <v>0</v>
      </c>
      <c r="BC170" s="957">
        <f t="shared" si="282"/>
        <v>1.5786666666666667</v>
      </c>
      <c r="BD170" s="957">
        <f t="shared" si="282"/>
        <v>1.5786666666666667</v>
      </c>
      <c r="BE170" s="957">
        <f t="shared" si="282"/>
        <v>1.5786666666666667</v>
      </c>
      <c r="BF170" s="957">
        <f t="shared" si="282"/>
        <v>1.5786666666666667</v>
      </c>
      <c r="BG170" s="957">
        <f t="shared" si="282"/>
        <v>1.5786666666666667</v>
      </c>
      <c r="BH170" s="957">
        <f t="shared" si="282"/>
        <v>1.5786666666666667</v>
      </c>
      <c r="BI170" s="957">
        <f t="shared" si="282"/>
        <v>0.39466666666666667</v>
      </c>
      <c r="BJ170" s="957">
        <f t="shared" si="282"/>
        <v>0</v>
      </c>
      <c r="BK170" s="957">
        <f t="shared" si="283"/>
        <v>0</v>
      </c>
      <c r="BL170" s="948">
        <f t="shared" si="289"/>
        <v>110.8224</v>
      </c>
      <c r="BM170" s="948">
        <f t="shared" si="284"/>
        <v>73.881600000000006</v>
      </c>
      <c r="BN170" s="948">
        <f t="shared" si="284"/>
        <v>91.638442666666663</v>
      </c>
      <c r="BO170" s="948">
        <f t="shared" si="284"/>
        <v>91.638442666666663</v>
      </c>
      <c r="BP170" s="948">
        <f t="shared" si="284"/>
        <v>110.8224</v>
      </c>
      <c r="BQ170" s="948">
        <f t="shared" si="284"/>
        <v>73.881600000000006</v>
      </c>
      <c r="BR170" s="948">
        <f t="shared" si="284"/>
        <v>147.59901866666667</v>
      </c>
      <c r="BS170" s="948">
        <f t="shared" si="285"/>
        <v>0</v>
      </c>
      <c r="BT170" s="955">
        <f t="shared" si="286"/>
        <v>208.41782857142857</v>
      </c>
    </row>
    <row r="171" spans="1:72">
      <c r="A171" s="952">
        <v>10</v>
      </c>
      <c r="B171" s="952" t="s">
        <v>1102</v>
      </c>
      <c r="C171" s="950" t="s">
        <v>1103</v>
      </c>
      <c r="D171" s="950">
        <v>1</v>
      </c>
      <c r="E171" s="950">
        <v>1</v>
      </c>
      <c r="F171" s="948">
        <v>10</v>
      </c>
      <c r="G171" s="948">
        <v>0.25</v>
      </c>
      <c r="H171" s="948">
        <v>0.6</v>
      </c>
      <c r="I171" s="948">
        <v>0.12</v>
      </c>
      <c r="J171" s="948">
        <f t="shared" si="260"/>
        <v>0.48</v>
      </c>
      <c r="K171" s="948">
        <f>F171*G171*J171*D171*E171</f>
        <v>1.2</v>
      </c>
      <c r="L171" s="948">
        <f>(2*J171)*D171*E171*F171</f>
        <v>9.6</v>
      </c>
      <c r="M171" s="952"/>
      <c r="N171" s="950">
        <v>16</v>
      </c>
      <c r="O171" s="950">
        <v>16</v>
      </c>
      <c r="P171" s="950">
        <v>16</v>
      </c>
      <c r="Q171" s="950">
        <v>16</v>
      </c>
      <c r="R171" s="950">
        <v>16</v>
      </c>
      <c r="S171" s="950">
        <v>16</v>
      </c>
      <c r="T171" s="950">
        <v>8</v>
      </c>
      <c r="U171" s="950"/>
      <c r="V171" s="950"/>
      <c r="W171" s="950">
        <v>200</v>
      </c>
      <c r="X171" s="950">
        <v>100</v>
      </c>
      <c r="Y171" s="950">
        <v>100</v>
      </c>
      <c r="Z171" s="950">
        <v>9</v>
      </c>
      <c r="AA171" s="950">
        <v>6</v>
      </c>
      <c r="AB171" s="950">
        <v>4</v>
      </c>
      <c r="AC171" s="950">
        <v>4</v>
      </c>
      <c r="AD171" s="950">
        <v>9</v>
      </c>
      <c r="AE171" s="950">
        <v>6</v>
      </c>
      <c r="AF171" s="955">
        <f>(F171/4)/(W171/1000)+1</f>
        <v>13.5</v>
      </c>
      <c r="AG171" s="955">
        <f t="shared" si="264"/>
        <v>51</v>
      </c>
      <c r="AH171" s="955">
        <f t="shared" si="287"/>
        <v>26</v>
      </c>
      <c r="AI171" s="955">
        <v>0</v>
      </c>
      <c r="AJ171" s="955">
        <v>0</v>
      </c>
      <c r="AK171" s="948">
        <f t="shared" si="265"/>
        <v>3.3000000000000003</v>
      </c>
      <c r="AL171" s="948">
        <f t="shared" si="266"/>
        <v>3.3000000000000003</v>
      </c>
      <c r="AM171" s="948">
        <f t="shared" si="267"/>
        <v>5.5120000000000005</v>
      </c>
      <c r="AN171" s="948">
        <f t="shared" si="268"/>
        <v>5.5120000000000005</v>
      </c>
      <c r="AO171" s="948">
        <f t="shared" si="269"/>
        <v>3.3000000000000003</v>
      </c>
      <c r="AP171" s="948">
        <f t="shared" si="270"/>
        <v>3.3000000000000003</v>
      </c>
      <c r="AQ171" s="948">
        <f t="shared" si="271"/>
        <v>1.508</v>
      </c>
      <c r="AR171" s="948">
        <f t="shared" si="272"/>
        <v>0</v>
      </c>
      <c r="AS171" s="948">
        <f t="shared" si="273"/>
        <v>0</v>
      </c>
      <c r="AT171" s="948">
        <f t="shared" si="290"/>
        <v>29.700000000000003</v>
      </c>
      <c r="AU171" s="948">
        <f t="shared" si="274"/>
        <v>19.8</v>
      </c>
      <c r="AV171" s="948">
        <f t="shared" si="275"/>
        <v>22.048000000000002</v>
      </c>
      <c r="AW171" s="948">
        <f t="shared" si="276"/>
        <v>22.048000000000002</v>
      </c>
      <c r="AX171" s="948">
        <f t="shared" si="277"/>
        <v>29.700000000000003</v>
      </c>
      <c r="AY171" s="948">
        <f t="shared" si="278"/>
        <v>19.8</v>
      </c>
      <c r="AZ171" s="948">
        <f t="shared" si="279"/>
        <v>136.47399999999999</v>
      </c>
      <c r="BA171" s="948">
        <f t="shared" si="280"/>
        <v>0</v>
      </c>
      <c r="BB171" s="948">
        <f t="shared" si="281"/>
        <v>0</v>
      </c>
      <c r="BC171" s="957">
        <f t="shared" si="282"/>
        <v>1.5786666666666667</v>
      </c>
      <c r="BD171" s="957">
        <f t="shared" si="282"/>
        <v>1.5786666666666667</v>
      </c>
      <c r="BE171" s="957">
        <f t="shared" si="282"/>
        <v>1.5786666666666667</v>
      </c>
      <c r="BF171" s="957">
        <f t="shared" si="282"/>
        <v>1.5786666666666667</v>
      </c>
      <c r="BG171" s="957">
        <f t="shared" si="282"/>
        <v>1.5786666666666667</v>
      </c>
      <c r="BH171" s="957">
        <f t="shared" si="282"/>
        <v>1.5786666666666667</v>
      </c>
      <c r="BI171" s="957">
        <f t="shared" si="282"/>
        <v>0.39466666666666667</v>
      </c>
      <c r="BJ171" s="957">
        <f t="shared" si="282"/>
        <v>0</v>
      </c>
      <c r="BK171" s="957">
        <f t="shared" si="283"/>
        <v>0</v>
      </c>
      <c r="BL171" s="948">
        <f t="shared" si="289"/>
        <v>46.886400000000002</v>
      </c>
      <c r="BM171" s="948">
        <f t="shared" si="284"/>
        <v>31.2576</v>
      </c>
      <c r="BN171" s="948">
        <f t="shared" si="284"/>
        <v>34.806442666666669</v>
      </c>
      <c r="BO171" s="948">
        <f t="shared" si="284"/>
        <v>34.806442666666669</v>
      </c>
      <c r="BP171" s="948">
        <f t="shared" si="284"/>
        <v>46.886400000000002</v>
      </c>
      <c r="BQ171" s="948">
        <f t="shared" si="284"/>
        <v>31.2576</v>
      </c>
      <c r="BR171" s="948">
        <f t="shared" si="284"/>
        <v>53.86173866666666</v>
      </c>
      <c r="BS171" s="948"/>
      <c r="BT171" s="955">
        <f t="shared" si="286"/>
        <v>233.13552000000001</v>
      </c>
    </row>
    <row r="172" spans="1:72">
      <c r="A172" s="952"/>
      <c r="B172" s="952"/>
      <c r="C172" s="950"/>
      <c r="D172" s="950"/>
      <c r="E172" s="950"/>
      <c r="F172" s="948"/>
      <c r="G172" s="948"/>
      <c r="H172" s="948"/>
      <c r="I172" s="948"/>
      <c r="J172" s="948"/>
      <c r="K172" s="948"/>
      <c r="L172" s="948"/>
      <c r="M172" s="952"/>
      <c r="N172" s="950"/>
      <c r="O172" s="950"/>
      <c r="P172" s="950"/>
      <c r="Q172" s="950"/>
      <c r="R172" s="950"/>
      <c r="S172" s="950"/>
      <c r="T172" s="950"/>
      <c r="U172" s="950"/>
      <c r="V172" s="950"/>
      <c r="W172" s="950"/>
      <c r="X172" s="950"/>
      <c r="Y172" s="950"/>
      <c r="Z172" s="950"/>
      <c r="AA172" s="950"/>
      <c r="AB172" s="950"/>
      <c r="AC172" s="950"/>
      <c r="AD172" s="950"/>
      <c r="AE172" s="950"/>
      <c r="AF172" s="955"/>
      <c r="AG172" s="955"/>
      <c r="AH172" s="955"/>
      <c r="AI172" s="955"/>
      <c r="AJ172" s="955"/>
      <c r="AK172" s="948"/>
      <c r="AL172" s="948"/>
      <c r="AM172" s="948"/>
      <c r="AN172" s="948"/>
      <c r="AO172" s="948"/>
      <c r="AP172" s="948"/>
      <c r="AQ172" s="948"/>
      <c r="AR172" s="948"/>
      <c r="AS172" s="948"/>
      <c r="AT172" s="948"/>
      <c r="AU172" s="948"/>
      <c r="AV172" s="948"/>
      <c r="AW172" s="948"/>
      <c r="AX172" s="948"/>
      <c r="AY172" s="948"/>
      <c r="AZ172" s="948"/>
      <c r="BA172" s="948"/>
      <c r="BB172" s="948"/>
      <c r="BC172" s="957"/>
      <c r="BD172" s="957"/>
      <c r="BE172" s="957"/>
      <c r="BF172" s="957"/>
      <c r="BG172" s="957"/>
      <c r="BH172" s="957"/>
      <c r="BI172" s="957"/>
      <c r="BJ172" s="957"/>
      <c r="BK172" s="957"/>
      <c r="BL172" s="948"/>
      <c r="BM172" s="948"/>
      <c r="BN172" s="948"/>
      <c r="BO172" s="948"/>
      <c r="BP172" s="948"/>
      <c r="BQ172" s="948"/>
      <c r="BR172" s="948"/>
      <c r="BS172" s="948"/>
      <c r="BT172" s="955"/>
    </row>
    <row r="173" spans="1:72">
      <c r="A173" s="952"/>
      <c r="B173" s="952"/>
      <c r="C173" s="950"/>
      <c r="D173" s="950"/>
      <c r="E173" s="950"/>
      <c r="F173" s="948"/>
      <c r="G173" s="948"/>
      <c r="H173" s="948"/>
      <c r="I173" s="948"/>
      <c r="J173" s="948"/>
      <c r="K173" s="948"/>
      <c r="L173" s="948"/>
      <c r="M173" s="952"/>
      <c r="N173" s="950"/>
      <c r="O173" s="950"/>
      <c r="P173" s="950"/>
      <c r="Q173" s="950"/>
      <c r="R173" s="950"/>
      <c r="S173" s="950"/>
      <c r="T173" s="950"/>
      <c r="U173" s="950"/>
      <c r="V173" s="950"/>
      <c r="W173" s="950"/>
      <c r="X173" s="950"/>
      <c r="Y173" s="950"/>
      <c r="Z173" s="950"/>
      <c r="AA173" s="950"/>
      <c r="AB173" s="950"/>
      <c r="AC173" s="950"/>
      <c r="AD173" s="950"/>
      <c r="AE173" s="950"/>
      <c r="AF173" s="955"/>
      <c r="AG173" s="955"/>
      <c r="AH173" s="955"/>
      <c r="AI173" s="955"/>
      <c r="AJ173" s="955"/>
      <c r="AK173" s="948"/>
      <c r="AL173" s="948"/>
      <c r="AM173" s="948"/>
      <c r="AN173" s="948"/>
      <c r="AO173" s="948"/>
      <c r="AP173" s="948"/>
      <c r="AQ173" s="948"/>
      <c r="AR173" s="948"/>
      <c r="AS173" s="948"/>
      <c r="AT173" s="948"/>
      <c r="AU173" s="948"/>
      <c r="AV173" s="948"/>
      <c r="AW173" s="948"/>
      <c r="AX173" s="948"/>
      <c r="AY173" s="948"/>
      <c r="AZ173" s="948"/>
      <c r="BA173" s="948"/>
      <c r="BB173" s="948"/>
      <c r="BC173" s="957"/>
      <c r="BD173" s="957"/>
      <c r="BE173" s="957"/>
      <c r="BF173" s="957"/>
      <c r="BG173" s="957"/>
      <c r="BH173" s="957"/>
      <c r="BI173" s="957"/>
      <c r="BJ173" s="957"/>
      <c r="BK173" s="957"/>
      <c r="BL173" s="948"/>
      <c r="BM173" s="948"/>
      <c r="BN173" s="948"/>
      <c r="BO173" s="948"/>
      <c r="BP173" s="948"/>
      <c r="BQ173" s="948"/>
      <c r="BR173" s="948"/>
      <c r="BS173" s="948"/>
      <c r="BT173" s="955"/>
    </row>
    <row r="174" spans="1:72">
      <c r="A174" s="960" t="s">
        <v>8</v>
      </c>
      <c r="B174" s="960" t="s">
        <v>1104</v>
      </c>
      <c r="C174" s="950"/>
      <c r="D174" s="950"/>
      <c r="E174" s="950"/>
      <c r="F174" s="948"/>
      <c r="G174" s="948"/>
      <c r="H174" s="948"/>
      <c r="I174" s="948"/>
      <c r="J174" s="948"/>
      <c r="K174" s="948"/>
      <c r="L174" s="948"/>
      <c r="M174" s="952"/>
      <c r="N174" s="959" t="str">
        <f>A174</f>
        <v>B</v>
      </c>
      <c r="O174" s="959" t="str">
        <f>B174</f>
        <v>Horizontal</v>
      </c>
      <c r="P174" s="950"/>
      <c r="Q174" s="950"/>
      <c r="R174" s="950"/>
      <c r="S174" s="950"/>
      <c r="T174" s="950"/>
      <c r="U174" s="950"/>
      <c r="V174" s="950"/>
      <c r="W174" s="950"/>
      <c r="X174" s="950"/>
      <c r="Y174" s="950"/>
      <c r="Z174" s="950"/>
      <c r="AA174" s="950"/>
      <c r="AB174" s="950"/>
      <c r="AC174" s="950"/>
      <c r="AD174" s="950"/>
      <c r="AE174" s="950"/>
      <c r="AF174" s="955"/>
      <c r="AG174" s="955"/>
      <c r="AH174" s="955"/>
      <c r="AI174" s="955"/>
      <c r="AJ174" s="955"/>
      <c r="AK174" s="948"/>
      <c r="AL174" s="948"/>
      <c r="AM174" s="948"/>
      <c r="AN174" s="948"/>
      <c r="AO174" s="948"/>
      <c r="AP174" s="948"/>
      <c r="AQ174" s="948"/>
      <c r="AR174" s="948"/>
      <c r="AS174" s="948"/>
      <c r="AT174" s="948"/>
      <c r="AU174" s="948"/>
      <c r="AV174" s="948"/>
      <c r="AW174" s="948"/>
      <c r="AX174" s="948"/>
      <c r="AY174" s="948"/>
      <c r="AZ174" s="948"/>
      <c r="BA174" s="948"/>
      <c r="BB174" s="948"/>
      <c r="BC174" s="957"/>
      <c r="BD174" s="957"/>
      <c r="BE174" s="957"/>
      <c r="BF174" s="957"/>
      <c r="BG174" s="957"/>
      <c r="BH174" s="957"/>
      <c r="BI174" s="957"/>
      <c r="BJ174" s="957"/>
      <c r="BK174" s="957"/>
      <c r="BL174" s="948"/>
      <c r="BM174" s="948"/>
      <c r="BN174" s="948"/>
      <c r="BO174" s="948"/>
      <c r="BP174" s="948"/>
      <c r="BQ174" s="948"/>
      <c r="BR174" s="948"/>
      <c r="BS174" s="948"/>
      <c r="BT174" s="955"/>
    </row>
    <row r="175" spans="1:72">
      <c r="A175" s="952">
        <v>1</v>
      </c>
      <c r="B175" s="952" t="s">
        <v>1105</v>
      </c>
      <c r="C175" s="950" t="s">
        <v>1106</v>
      </c>
      <c r="D175" s="950">
        <v>1</v>
      </c>
      <c r="E175" s="950">
        <v>1</v>
      </c>
      <c r="F175" s="948">
        <v>72</v>
      </c>
      <c r="G175" s="948">
        <v>0.3</v>
      </c>
      <c r="H175" s="948">
        <v>0.65</v>
      </c>
      <c r="I175" s="948">
        <v>0.12</v>
      </c>
      <c r="J175" s="948">
        <f t="shared" ref="J175:J189" si="291">H175-I175</f>
        <v>0.53</v>
      </c>
      <c r="K175" s="948">
        <f t="shared" ref="K175" si="292">F175*G175*J175*D175*E175</f>
        <v>11.447999999999999</v>
      </c>
      <c r="L175" s="948">
        <f>(2*J175)*F175*E175*D175</f>
        <v>76.320000000000007</v>
      </c>
      <c r="M175" s="952"/>
      <c r="N175" s="950">
        <v>16</v>
      </c>
      <c r="O175" s="950">
        <v>16</v>
      </c>
      <c r="P175" s="950">
        <v>16</v>
      </c>
      <c r="Q175" s="950">
        <v>16</v>
      </c>
      <c r="R175" s="950">
        <v>16</v>
      </c>
      <c r="S175" s="950">
        <v>16</v>
      </c>
      <c r="T175" s="950">
        <v>8</v>
      </c>
      <c r="U175" s="950"/>
      <c r="V175" s="950"/>
      <c r="W175" s="950">
        <v>200</v>
      </c>
      <c r="X175" s="950">
        <v>100</v>
      </c>
      <c r="Y175" s="950">
        <f>X175</f>
        <v>100</v>
      </c>
      <c r="Z175" s="950">
        <v>9</v>
      </c>
      <c r="AA175" s="950">
        <v>6</v>
      </c>
      <c r="AB175" s="950">
        <v>16</v>
      </c>
      <c r="AC175" s="950">
        <v>16</v>
      </c>
      <c r="AD175" s="950">
        <v>9</v>
      </c>
      <c r="AE175" s="950">
        <v>6</v>
      </c>
      <c r="AF175" s="955">
        <f t="shared" ref="AF175:AF189" si="293">(F175/4)/(W175/1000)+1</f>
        <v>91</v>
      </c>
      <c r="AG175" s="955">
        <f t="shared" ref="AG175:AG189" si="294">(F175/2)/(X175/1000)+1</f>
        <v>361</v>
      </c>
      <c r="AH175" s="955">
        <f t="shared" ref="AH175:AH189" si="295">(F175/4)/(Y175/1000)+1</f>
        <v>181</v>
      </c>
      <c r="AI175" s="955">
        <v>0</v>
      </c>
      <c r="AJ175" s="955">
        <v>0</v>
      </c>
      <c r="AK175" s="948">
        <f t="shared" ref="AK175:AK189" si="296">(F175/4)+(20*N175/1000)+(10*N175/1000)+(8*N175/1000)+(6*2*N175/1000)</f>
        <v>18.8</v>
      </c>
      <c r="AL175" s="948">
        <f t="shared" ref="AL175:AL189" si="297">(F175/4)+(20*O175/1000)+(10*O175/1000)+(8*O175/1000)+(6*2*O175/1000)</f>
        <v>18.8</v>
      </c>
      <c r="AM175" s="948">
        <f t="shared" ref="AM175:AM189" si="298">(F175/2)+(20*P175/1000)+(6*2*P175/1000)</f>
        <v>36.512</v>
      </c>
      <c r="AN175" s="948">
        <f t="shared" ref="AN175:AN189" si="299">(F175/2)+(20*Q175/1000)+(6*2*Q175/1000)</f>
        <v>36.512</v>
      </c>
      <c r="AO175" s="948">
        <f t="shared" ref="AO175:AO189" si="300">(F175/4)+(20*R175/1000)+(10*R175/1000)+(8*R175/1000)+(6*2*R175/1000)</f>
        <v>18.8</v>
      </c>
      <c r="AP175" s="948">
        <f t="shared" ref="AP175:AP189" si="301">(F175/4)+(20*S175/1000)+(10*S175/1000)+(8*S175/1000)+(6*2*S175/1000)</f>
        <v>18.8</v>
      </c>
      <c r="AQ175" s="948">
        <f t="shared" ref="AQ175:AQ189" si="302">(2*G175)+(2*H175)+(6*T175/1000)-(8*0.03)</f>
        <v>1.708</v>
      </c>
      <c r="AR175" s="948">
        <f t="shared" ref="AR175:AR179" si="303">((H175)+(2*6*U175/1000)-(2*0.03))*AI175</f>
        <v>0</v>
      </c>
      <c r="AS175" s="948">
        <f t="shared" ref="AS175:AS189" si="304">((G175)+(2*6*V175/1000)-(2*0.03))*AJ175</f>
        <v>0</v>
      </c>
      <c r="AT175" s="948">
        <f t="shared" ref="AT175:AT189" si="305">AK175*Z175*E175*D175</f>
        <v>169.20000000000002</v>
      </c>
      <c r="AU175" s="948">
        <f t="shared" ref="AU175:AU189" si="306">AL175*AA175*E175*D175</f>
        <v>112.80000000000001</v>
      </c>
      <c r="AV175" s="948">
        <f t="shared" ref="AV175:AV189" si="307">AM175*AB175*E175*D175</f>
        <v>584.19200000000001</v>
      </c>
      <c r="AW175" s="948">
        <f t="shared" ref="AW175:AW189" si="308">AN175*AC175*E175*D175</f>
        <v>584.19200000000001</v>
      </c>
      <c r="AX175" s="948">
        <f t="shared" ref="AX175:AX189" si="309">AO175*AD175*E175*D175</f>
        <v>169.20000000000002</v>
      </c>
      <c r="AY175" s="948">
        <f t="shared" ref="AY175:AY189" si="310">AP175*AE175*E175*D175</f>
        <v>112.80000000000001</v>
      </c>
      <c r="AZ175" s="948">
        <f t="shared" ref="AZ175:AZ189" si="311">AQ175*(AF175+AG175+AH175)*E175*D175</f>
        <v>1081.164</v>
      </c>
      <c r="BA175" s="948">
        <f t="shared" ref="BA175:BA189" si="312">AR175*(AF175+AG175+AH175)*E175*D175</f>
        <v>0</v>
      </c>
      <c r="BB175" s="948">
        <f t="shared" ref="BB175:BB189" si="313">AS175*(AF175+AG175+AH175)*E175*D175</f>
        <v>0</v>
      </c>
      <c r="BC175" s="957">
        <f t="shared" ref="BC175:BK189" si="314">N175*N175*0.074/12</f>
        <v>1.5786666666666667</v>
      </c>
      <c r="BD175" s="957">
        <f t="shared" si="314"/>
        <v>1.5786666666666667</v>
      </c>
      <c r="BE175" s="957">
        <f t="shared" si="314"/>
        <v>1.5786666666666667</v>
      </c>
      <c r="BF175" s="957">
        <f t="shared" si="314"/>
        <v>1.5786666666666667</v>
      </c>
      <c r="BG175" s="957">
        <f t="shared" si="314"/>
        <v>1.5786666666666667</v>
      </c>
      <c r="BH175" s="957">
        <f t="shared" si="314"/>
        <v>1.5786666666666667</v>
      </c>
      <c r="BI175" s="957">
        <f t="shared" si="314"/>
        <v>0.39466666666666667</v>
      </c>
      <c r="BJ175" s="957">
        <f t="shared" si="314"/>
        <v>0</v>
      </c>
      <c r="BK175" s="957">
        <f t="shared" si="314"/>
        <v>0</v>
      </c>
      <c r="BL175" s="948">
        <f t="shared" ref="BL175:BR189" si="315">AT175*BC175</f>
        <v>267.11040000000003</v>
      </c>
      <c r="BM175" s="948">
        <f t="shared" si="315"/>
        <v>178.07360000000003</v>
      </c>
      <c r="BN175" s="948">
        <f t="shared" si="315"/>
        <v>922.24443733333339</v>
      </c>
      <c r="BO175" s="948">
        <f t="shared" si="315"/>
        <v>922.24443733333339</v>
      </c>
      <c r="BP175" s="948">
        <f t="shared" si="315"/>
        <v>267.11040000000003</v>
      </c>
      <c r="BQ175" s="948">
        <f t="shared" si="315"/>
        <v>178.07360000000003</v>
      </c>
      <c r="BR175" s="948">
        <f>AZ175*BI175</f>
        <v>426.69939199999999</v>
      </c>
      <c r="BS175" s="948">
        <f t="shared" ref="BS175:BS189" si="316">BB175*BK175</f>
        <v>0</v>
      </c>
      <c r="BT175" s="955">
        <f t="shared" ref="BT175:BT189" si="317">SUM(BL175:BS175)/K175</f>
        <v>276.16668996040073</v>
      </c>
    </row>
    <row r="176" spans="1:72">
      <c r="A176" s="952">
        <v>2</v>
      </c>
      <c r="B176" s="952" t="s">
        <v>1107</v>
      </c>
      <c r="C176" s="950" t="s">
        <v>1108</v>
      </c>
      <c r="D176" s="950">
        <v>1</v>
      </c>
      <c r="E176" s="950">
        <v>1</v>
      </c>
      <c r="F176" s="948">
        <v>64</v>
      </c>
      <c r="G176" s="948">
        <v>0.25</v>
      </c>
      <c r="H176" s="948">
        <v>0.6</v>
      </c>
      <c r="I176" s="948">
        <v>0.12</v>
      </c>
      <c r="J176" s="948">
        <f t="shared" si="291"/>
        <v>0.48</v>
      </c>
      <c r="K176" s="948">
        <f>F176*G176*J176*D176*E176</f>
        <v>7.68</v>
      </c>
      <c r="L176" s="948">
        <f t="shared" ref="L176:L189" si="318">(2*J176)*F176*E176*D176</f>
        <v>61.44</v>
      </c>
      <c r="M176" s="952"/>
      <c r="N176" s="950">
        <v>16</v>
      </c>
      <c r="O176" s="950">
        <v>16</v>
      </c>
      <c r="P176" s="950">
        <v>16</v>
      </c>
      <c r="Q176" s="950">
        <v>16</v>
      </c>
      <c r="R176" s="950">
        <v>16</v>
      </c>
      <c r="S176" s="950">
        <v>16</v>
      </c>
      <c r="T176" s="950">
        <v>8</v>
      </c>
      <c r="U176" s="950"/>
      <c r="V176" s="950"/>
      <c r="W176" s="950">
        <v>200</v>
      </c>
      <c r="X176" s="950">
        <v>100</v>
      </c>
      <c r="Y176" s="950">
        <v>100</v>
      </c>
      <c r="Z176" s="950">
        <v>4</v>
      </c>
      <c r="AA176" s="950">
        <v>4</v>
      </c>
      <c r="AB176" s="950">
        <v>2</v>
      </c>
      <c r="AC176" s="950">
        <v>2</v>
      </c>
      <c r="AD176" s="950">
        <v>4</v>
      </c>
      <c r="AE176" s="950">
        <v>4</v>
      </c>
      <c r="AF176" s="955">
        <f t="shared" si="293"/>
        <v>81</v>
      </c>
      <c r="AG176" s="955">
        <f t="shared" si="294"/>
        <v>321</v>
      </c>
      <c r="AH176" s="955">
        <f t="shared" si="295"/>
        <v>161</v>
      </c>
      <c r="AI176" s="955">
        <v>0</v>
      </c>
      <c r="AJ176" s="955">
        <v>0</v>
      </c>
      <c r="AK176" s="948">
        <f t="shared" si="296"/>
        <v>16.8</v>
      </c>
      <c r="AL176" s="948">
        <f t="shared" si="297"/>
        <v>16.8</v>
      </c>
      <c r="AM176" s="948">
        <f t="shared" si="298"/>
        <v>32.512</v>
      </c>
      <c r="AN176" s="948">
        <f t="shared" si="299"/>
        <v>32.512</v>
      </c>
      <c r="AO176" s="948">
        <f t="shared" si="300"/>
        <v>16.8</v>
      </c>
      <c r="AP176" s="948">
        <f t="shared" si="301"/>
        <v>16.8</v>
      </c>
      <c r="AQ176" s="948">
        <f t="shared" si="302"/>
        <v>1.508</v>
      </c>
      <c r="AR176" s="948">
        <f t="shared" si="303"/>
        <v>0</v>
      </c>
      <c r="AS176" s="948">
        <f t="shared" si="304"/>
        <v>0</v>
      </c>
      <c r="AT176" s="948">
        <f t="shared" si="305"/>
        <v>67.2</v>
      </c>
      <c r="AU176" s="948">
        <f t="shared" si="306"/>
        <v>67.2</v>
      </c>
      <c r="AV176" s="948">
        <f t="shared" si="307"/>
        <v>65.024000000000001</v>
      </c>
      <c r="AW176" s="948">
        <f t="shared" si="308"/>
        <v>65.024000000000001</v>
      </c>
      <c r="AX176" s="948">
        <f t="shared" si="309"/>
        <v>67.2</v>
      </c>
      <c r="AY176" s="948">
        <f t="shared" si="310"/>
        <v>67.2</v>
      </c>
      <c r="AZ176" s="948">
        <f t="shared" si="311"/>
        <v>849.00400000000002</v>
      </c>
      <c r="BA176" s="948">
        <f t="shared" si="312"/>
        <v>0</v>
      </c>
      <c r="BB176" s="948">
        <f t="shared" si="313"/>
        <v>0</v>
      </c>
      <c r="BC176" s="957">
        <f t="shared" si="314"/>
        <v>1.5786666666666667</v>
      </c>
      <c r="BD176" s="957">
        <f t="shared" si="314"/>
        <v>1.5786666666666667</v>
      </c>
      <c r="BE176" s="957">
        <f t="shared" si="314"/>
        <v>1.5786666666666667</v>
      </c>
      <c r="BF176" s="957">
        <f t="shared" si="314"/>
        <v>1.5786666666666667</v>
      </c>
      <c r="BG176" s="957">
        <f t="shared" si="314"/>
        <v>1.5786666666666667</v>
      </c>
      <c r="BH176" s="957">
        <f t="shared" si="314"/>
        <v>1.5786666666666667</v>
      </c>
      <c r="BI176" s="957">
        <f t="shared" si="314"/>
        <v>0.39466666666666667</v>
      </c>
      <c r="BJ176" s="957">
        <f t="shared" si="314"/>
        <v>0</v>
      </c>
      <c r="BK176" s="957">
        <f t="shared" si="314"/>
        <v>0</v>
      </c>
      <c r="BL176" s="948">
        <f t="shared" si="315"/>
        <v>106.0864</v>
      </c>
      <c r="BM176" s="948">
        <f t="shared" si="315"/>
        <v>106.0864</v>
      </c>
      <c r="BN176" s="948">
        <f t="shared" si="315"/>
        <v>102.65122133333334</v>
      </c>
      <c r="BO176" s="948">
        <f t="shared" si="315"/>
        <v>102.65122133333334</v>
      </c>
      <c r="BP176" s="948">
        <f t="shared" si="315"/>
        <v>106.0864</v>
      </c>
      <c r="BQ176" s="948">
        <f t="shared" si="315"/>
        <v>106.0864</v>
      </c>
      <c r="BR176" s="948">
        <f t="shared" si="315"/>
        <v>335.07357866666666</v>
      </c>
      <c r="BS176" s="948">
        <f t="shared" si="316"/>
        <v>0</v>
      </c>
      <c r="BT176" s="955">
        <f t="shared" si="317"/>
        <v>125.61479444444446</v>
      </c>
    </row>
    <row r="177" spans="1:72">
      <c r="A177" s="952">
        <v>3</v>
      </c>
      <c r="B177" s="952" t="s">
        <v>1109</v>
      </c>
      <c r="C177" s="950" t="s">
        <v>1110</v>
      </c>
      <c r="D177" s="950">
        <v>1</v>
      </c>
      <c r="E177" s="950">
        <v>1</v>
      </c>
      <c r="F177" s="948">
        <v>248.4</v>
      </c>
      <c r="G177" s="948">
        <v>0.25</v>
      </c>
      <c r="H177" s="948">
        <v>0.6</v>
      </c>
      <c r="I177" s="948">
        <v>0.12</v>
      </c>
      <c r="J177" s="948">
        <f t="shared" si="291"/>
        <v>0.48</v>
      </c>
      <c r="K177" s="948">
        <f>F177*G177*J177*D177*E177</f>
        <v>29.808</v>
      </c>
      <c r="L177" s="948">
        <f t="shared" si="318"/>
        <v>238.464</v>
      </c>
      <c r="M177" s="952"/>
      <c r="N177" s="950">
        <v>16</v>
      </c>
      <c r="O177" s="950">
        <v>16</v>
      </c>
      <c r="P177" s="950">
        <v>16</v>
      </c>
      <c r="Q177" s="950">
        <v>16</v>
      </c>
      <c r="R177" s="950">
        <v>16</v>
      </c>
      <c r="S177" s="950">
        <v>16</v>
      </c>
      <c r="T177" s="950">
        <v>8</v>
      </c>
      <c r="U177" s="950"/>
      <c r="V177" s="950"/>
      <c r="W177" s="950">
        <v>200</v>
      </c>
      <c r="X177" s="950">
        <v>100</v>
      </c>
      <c r="Y177" s="950">
        <v>100</v>
      </c>
      <c r="Z177" s="950">
        <v>10</v>
      </c>
      <c r="AA177" s="950">
        <v>10</v>
      </c>
      <c r="AB177" s="950">
        <v>10</v>
      </c>
      <c r="AC177" s="950">
        <v>10</v>
      </c>
      <c r="AD177" s="950">
        <v>10</v>
      </c>
      <c r="AE177" s="950">
        <v>10</v>
      </c>
      <c r="AF177" s="955">
        <f t="shared" si="293"/>
        <v>311.5</v>
      </c>
      <c r="AG177" s="955">
        <f t="shared" si="294"/>
        <v>1243</v>
      </c>
      <c r="AH177" s="955">
        <f t="shared" si="295"/>
        <v>622</v>
      </c>
      <c r="AI177" s="955">
        <v>0</v>
      </c>
      <c r="AJ177" s="955">
        <v>0</v>
      </c>
      <c r="AK177" s="948">
        <f t="shared" si="296"/>
        <v>62.9</v>
      </c>
      <c r="AL177" s="948">
        <f t="shared" si="297"/>
        <v>62.9</v>
      </c>
      <c r="AM177" s="948">
        <f t="shared" si="298"/>
        <v>124.71199999999999</v>
      </c>
      <c r="AN177" s="948">
        <f t="shared" si="299"/>
        <v>124.71199999999999</v>
      </c>
      <c r="AO177" s="948">
        <f t="shared" si="300"/>
        <v>62.9</v>
      </c>
      <c r="AP177" s="948">
        <f t="shared" si="301"/>
        <v>62.9</v>
      </c>
      <c r="AQ177" s="948">
        <f t="shared" si="302"/>
        <v>1.508</v>
      </c>
      <c r="AR177" s="948">
        <f t="shared" si="303"/>
        <v>0</v>
      </c>
      <c r="AS177" s="948">
        <f t="shared" si="304"/>
        <v>0</v>
      </c>
      <c r="AT177" s="948">
        <f t="shared" si="305"/>
        <v>629</v>
      </c>
      <c r="AU177" s="948">
        <f t="shared" si="306"/>
        <v>629</v>
      </c>
      <c r="AV177" s="948">
        <f t="shared" si="307"/>
        <v>1247.1199999999999</v>
      </c>
      <c r="AW177" s="948">
        <f t="shared" si="308"/>
        <v>1247.1199999999999</v>
      </c>
      <c r="AX177" s="948">
        <f t="shared" si="309"/>
        <v>629</v>
      </c>
      <c r="AY177" s="948">
        <f t="shared" si="310"/>
        <v>629</v>
      </c>
      <c r="AZ177" s="948">
        <f t="shared" si="311"/>
        <v>3282.1619999999998</v>
      </c>
      <c r="BA177" s="948">
        <f t="shared" si="312"/>
        <v>0</v>
      </c>
      <c r="BB177" s="948">
        <f t="shared" si="313"/>
        <v>0</v>
      </c>
      <c r="BC177" s="957">
        <f t="shared" si="314"/>
        <v>1.5786666666666667</v>
      </c>
      <c r="BD177" s="957">
        <f t="shared" si="314"/>
        <v>1.5786666666666667</v>
      </c>
      <c r="BE177" s="957">
        <f t="shared" si="314"/>
        <v>1.5786666666666667</v>
      </c>
      <c r="BF177" s="957">
        <f t="shared" si="314"/>
        <v>1.5786666666666667</v>
      </c>
      <c r="BG177" s="957">
        <f t="shared" si="314"/>
        <v>1.5786666666666667</v>
      </c>
      <c r="BH177" s="957">
        <f t="shared" si="314"/>
        <v>1.5786666666666667</v>
      </c>
      <c r="BI177" s="957">
        <f t="shared" si="314"/>
        <v>0.39466666666666667</v>
      </c>
      <c r="BJ177" s="957">
        <f t="shared" si="314"/>
        <v>0</v>
      </c>
      <c r="BK177" s="957">
        <f t="shared" si="314"/>
        <v>0</v>
      </c>
      <c r="BL177" s="948">
        <f t="shared" si="315"/>
        <v>992.98133333333328</v>
      </c>
      <c r="BM177" s="948">
        <f t="shared" si="315"/>
        <v>992.98133333333328</v>
      </c>
      <c r="BN177" s="948">
        <f t="shared" si="315"/>
        <v>1968.7867733333333</v>
      </c>
      <c r="BO177" s="948">
        <f t="shared" si="315"/>
        <v>1968.7867733333333</v>
      </c>
      <c r="BP177" s="948">
        <f t="shared" si="315"/>
        <v>992.98133333333328</v>
      </c>
      <c r="BQ177" s="948">
        <f t="shared" si="315"/>
        <v>992.98133333333328</v>
      </c>
      <c r="BR177" s="948">
        <f t="shared" si="315"/>
        <v>1295.3599359999998</v>
      </c>
      <c r="BS177" s="948">
        <f t="shared" si="316"/>
        <v>0</v>
      </c>
      <c r="BT177" s="955">
        <f t="shared" si="317"/>
        <v>308.80497906602255</v>
      </c>
    </row>
    <row r="178" spans="1:72">
      <c r="A178" s="952">
        <v>4</v>
      </c>
      <c r="B178" s="952" t="s">
        <v>1155</v>
      </c>
      <c r="C178" s="950" t="s">
        <v>1112</v>
      </c>
      <c r="D178" s="950">
        <v>1</v>
      </c>
      <c r="E178" s="950">
        <v>1</v>
      </c>
      <c r="F178" s="948">
        <v>42</v>
      </c>
      <c r="G178" s="948">
        <v>0.25</v>
      </c>
      <c r="H178" s="948">
        <v>0.6</v>
      </c>
      <c r="I178" s="948">
        <v>0.12</v>
      </c>
      <c r="J178" s="948">
        <f t="shared" si="291"/>
        <v>0.48</v>
      </c>
      <c r="K178" s="948">
        <f>F178*G178*J178*D178*E178</f>
        <v>5.04</v>
      </c>
      <c r="L178" s="948">
        <f t="shared" si="318"/>
        <v>40.32</v>
      </c>
      <c r="M178" s="952"/>
      <c r="N178" s="950">
        <v>19</v>
      </c>
      <c r="O178" s="950">
        <v>19</v>
      </c>
      <c r="P178" s="950">
        <v>19</v>
      </c>
      <c r="Q178" s="950">
        <v>19</v>
      </c>
      <c r="R178" s="950">
        <v>19</v>
      </c>
      <c r="S178" s="950">
        <v>19</v>
      </c>
      <c r="T178" s="950">
        <v>8</v>
      </c>
      <c r="U178" s="950"/>
      <c r="V178" s="950"/>
      <c r="W178" s="950">
        <v>200</v>
      </c>
      <c r="X178" s="950">
        <v>100</v>
      </c>
      <c r="Y178" s="950">
        <v>100</v>
      </c>
      <c r="Z178" s="950">
        <v>9</v>
      </c>
      <c r="AA178" s="950">
        <v>6</v>
      </c>
      <c r="AB178" s="950">
        <v>8</v>
      </c>
      <c r="AC178" s="950">
        <v>8</v>
      </c>
      <c r="AD178" s="950">
        <v>9</v>
      </c>
      <c r="AE178" s="950">
        <v>6</v>
      </c>
      <c r="AF178" s="955">
        <f t="shared" si="293"/>
        <v>53.5</v>
      </c>
      <c r="AG178" s="955">
        <f t="shared" si="294"/>
        <v>211</v>
      </c>
      <c r="AH178" s="955">
        <f t="shared" si="295"/>
        <v>106</v>
      </c>
      <c r="AI178" s="955">
        <v>0</v>
      </c>
      <c r="AJ178" s="955">
        <v>0</v>
      </c>
      <c r="AK178" s="948">
        <f t="shared" si="296"/>
        <v>11.45</v>
      </c>
      <c r="AL178" s="948">
        <f t="shared" si="297"/>
        <v>11.45</v>
      </c>
      <c r="AM178" s="948">
        <f t="shared" si="298"/>
        <v>21.608000000000001</v>
      </c>
      <c r="AN178" s="948">
        <f t="shared" si="299"/>
        <v>21.608000000000001</v>
      </c>
      <c r="AO178" s="948">
        <f t="shared" si="300"/>
        <v>11.45</v>
      </c>
      <c r="AP178" s="948">
        <f t="shared" si="301"/>
        <v>11.45</v>
      </c>
      <c r="AQ178" s="948">
        <f t="shared" si="302"/>
        <v>1.508</v>
      </c>
      <c r="AR178" s="948">
        <f t="shared" si="303"/>
        <v>0</v>
      </c>
      <c r="AS178" s="948">
        <f t="shared" si="304"/>
        <v>0</v>
      </c>
      <c r="AT178" s="948">
        <f t="shared" si="305"/>
        <v>103.05</v>
      </c>
      <c r="AU178" s="948">
        <f t="shared" si="306"/>
        <v>68.699999999999989</v>
      </c>
      <c r="AV178" s="948">
        <f t="shared" si="307"/>
        <v>172.864</v>
      </c>
      <c r="AW178" s="948">
        <f t="shared" si="308"/>
        <v>172.864</v>
      </c>
      <c r="AX178" s="948">
        <f t="shared" si="309"/>
        <v>103.05</v>
      </c>
      <c r="AY178" s="948">
        <f t="shared" si="310"/>
        <v>68.699999999999989</v>
      </c>
      <c r="AZ178" s="948">
        <f t="shared" si="311"/>
        <v>558.71400000000006</v>
      </c>
      <c r="BA178" s="948">
        <f t="shared" si="312"/>
        <v>0</v>
      </c>
      <c r="BB178" s="948">
        <f t="shared" si="313"/>
        <v>0</v>
      </c>
      <c r="BC178" s="957">
        <f t="shared" si="314"/>
        <v>2.2261666666666664</v>
      </c>
      <c r="BD178" s="957">
        <f t="shared" si="314"/>
        <v>2.2261666666666664</v>
      </c>
      <c r="BE178" s="957">
        <f t="shared" si="314"/>
        <v>2.2261666666666664</v>
      </c>
      <c r="BF178" s="957">
        <f t="shared" si="314"/>
        <v>2.2261666666666664</v>
      </c>
      <c r="BG178" s="957">
        <f t="shared" si="314"/>
        <v>2.2261666666666664</v>
      </c>
      <c r="BH178" s="957">
        <f t="shared" si="314"/>
        <v>2.2261666666666664</v>
      </c>
      <c r="BI178" s="957">
        <f t="shared" si="314"/>
        <v>0.39466666666666667</v>
      </c>
      <c r="BJ178" s="957">
        <f t="shared" si="314"/>
        <v>0</v>
      </c>
      <c r="BK178" s="957">
        <f t="shared" si="314"/>
        <v>0</v>
      </c>
      <c r="BL178" s="948">
        <f t="shared" si="315"/>
        <v>229.40647499999997</v>
      </c>
      <c r="BM178" s="948">
        <f t="shared" si="315"/>
        <v>152.93764999999996</v>
      </c>
      <c r="BN178" s="948">
        <f t="shared" si="315"/>
        <v>384.8240746666666</v>
      </c>
      <c r="BO178" s="948">
        <f t="shared" si="315"/>
        <v>384.8240746666666</v>
      </c>
      <c r="BP178" s="948">
        <f t="shared" si="315"/>
        <v>229.40647499999997</v>
      </c>
      <c r="BQ178" s="948">
        <f t="shared" si="315"/>
        <v>152.93764999999996</v>
      </c>
      <c r="BR178" s="948">
        <f t="shared" si="315"/>
        <v>220.50579200000001</v>
      </c>
      <c r="BS178" s="948">
        <f t="shared" si="316"/>
        <v>0</v>
      </c>
      <c r="BT178" s="955">
        <f t="shared" si="317"/>
        <v>348.18297447089941</v>
      </c>
    </row>
    <row r="179" spans="1:72">
      <c r="A179" s="952">
        <v>5</v>
      </c>
      <c r="B179" s="952" t="s">
        <v>1113</v>
      </c>
      <c r="C179" s="950" t="s">
        <v>1114</v>
      </c>
      <c r="D179" s="950">
        <v>1</v>
      </c>
      <c r="E179" s="950">
        <v>1</v>
      </c>
      <c r="F179" s="948">
        <v>48</v>
      </c>
      <c r="G179" s="948">
        <v>0.25</v>
      </c>
      <c r="H179" s="948">
        <v>0.6</v>
      </c>
      <c r="I179" s="948">
        <v>0.12</v>
      </c>
      <c r="J179" s="948">
        <f t="shared" si="291"/>
        <v>0.48</v>
      </c>
      <c r="K179" s="948">
        <f>F179*G179*J179*D179*E179</f>
        <v>5.76</v>
      </c>
      <c r="L179" s="948">
        <f t="shared" si="318"/>
        <v>46.08</v>
      </c>
      <c r="M179" s="952"/>
      <c r="N179" s="950">
        <f t="shared" ref="N179:S181" si="319">N175</f>
        <v>16</v>
      </c>
      <c r="O179" s="950">
        <f t="shared" si="319"/>
        <v>16</v>
      </c>
      <c r="P179" s="950">
        <f t="shared" si="319"/>
        <v>16</v>
      </c>
      <c r="Q179" s="950">
        <f t="shared" si="319"/>
        <v>16</v>
      </c>
      <c r="R179" s="950">
        <f t="shared" si="319"/>
        <v>16</v>
      </c>
      <c r="S179" s="950">
        <f t="shared" si="319"/>
        <v>16</v>
      </c>
      <c r="T179" s="950">
        <v>8</v>
      </c>
      <c r="U179" s="950"/>
      <c r="V179" s="950"/>
      <c r="W179" s="950">
        <v>200</v>
      </c>
      <c r="X179" s="950">
        <v>100</v>
      </c>
      <c r="Y179" s="950">
        <f t="shared" ref="Y179" si="320">Y175</f>
        <v>100</v>
      </c>
      <c r="Z179" s="950">
        <v>4</v>
      </c>
      <c r="AA179" s="950">
        <v>4</v>
      </c>
      <c r="AB179" s="950">
        <v>2</v>
      </c>
      <c r="AC179" s="950">
        <v>2</v>
      </c>
      <c r="AD179" s="950">
        <v>4</v>
      </c>
      <c r="AE179" s="950">
        <v>4</v>
      </c>
      <c r="AF179" s="955">
        <f t="shared" si="293"/>
        <v>61</v>
      </c>
      <c r="AG179" s="955">
        <f t="shared" si="294"/>
        <v>241</v>
      </c>
      <c r="AH179" s="955">
        <f t="shared" si="295"/>
        <v>121</v>
      </c>
      <c r="AI179" s="955">
        <v>0</v>
      </c>
      <c r="AJ179" s="955">
        <v>0</v>
      </c>
      <c r="AK179" s="948">
        <f t="shared" si="296"/>
        <v>12.8</v>
      </c>
      <c r="AL179" s="948">
        <f t="shared" si="297"/>
        <v>12.8</v>
      </c>
      <c r="AM179" s="948">
        <f t="shared" si="298"/>
        <v>24.512</v>
      </c>
      <c r="AN179" s="948">
        <f t="shared" si="299"/>
        <v>24.512</v>
      </c>
      <c r="AO179" s="948">
        <f t="shared" si="300"/>
        <v>12.8</v>
      </c>
      <c r="AP179" s="948">
        <f t="shared" si="301"/>
        <v>12.8</v>
      </c>
      <c r="AQ179" s="948">
        <f t="shared" si="302"/>
        <v>1.508</v>
      </c>
      <c r="AR179" s="948">
        <f t="shared" si="303"/>
        <v>0</v>
      </c>
      <c r="AS179" s="948">
        <f t="shared" si="304"/>
        <v>0</v>
      </c>
      <c r="AT179" s="948">
        <f t="shared" si="305"/>
        <v>51.2</v>
      </c>
      <c r="AU179" s="948">
        <f t="shared" si="306"/>
        <v>51.2</v>
      </c>
      <c r="AV179" s="948">
        <f t="shared" si="307"/>
        <v>49.024000000000001</v>
      </c>
      <c r="AW179" s="948">
        <f t="shared" si="308"/>
        <v>49.024000000000001</v>
      </c>
      <c r="AX179" s="948">
        <f t="shared" si="309"/>
        <v>51.2</v>
      </c>
      <c r="AY179" s="948">
        <f t="shared" si="310"/>
        <v>51.2</v>
      </c>
      <c r="AZ179" s="948">
        <f t="shared" si="311"/>
        <v>637.88400000000001</v>
      </c>
      <c r="BA179" s="948">
        <f t="shared" si="312"/>
        <v>0</v>
      </c>
      <c r="BB179" s="948">
        <f t="shared" si="313"/>
        <v>0</v>
      </c>
      <c r="BC179" s="957">
        <f t="shared" si="314"/>
        <v>1.5786666666666667</v>
      </c>
      <c r="BD179" s="957">
        <f t="shared" si="314"/>
        <v>1.5786666666666667</v>
      </c>
      <c r="BE179" s="957">
        <f t="shared" si="314"/>
        <v>1.5786666666666667</v>
      </c>
      <c r="BF179" s="957">
        <f t="shared" si="314"/>
        <v>1.5786666666666667</v>
      </c>
      <c r="BG179" s="957">
        <f t="shared" si="314"/>
        <v>1.5786666666666667</v>
      </c>
      <c r="BH179" s="957">
        <f t="shared" si="314"/>
        <v>1.5786666666666667</v>
      </c>
      <c r="BI179" s="957">
        <f t="shared" si="314"/>
        <v>0.39466666666666667</v>
      </c>
      <c r="BJ179" s="957">
        <f t="shared" si="314"/>
        <v>0</v>
      </c>
      <c r="BK179" s="957">
        <f t="shared" si="314"/>
        <v>0</v>
      </c>
      <c r="BL179" s="948">
        <f t="shared" si="315"/>
        <v>80.827733333333342</v>
      </c>
      <c r="BM179" s="948">
        <f t="shared" si="315"/>
        <v>80.827733333333342</v>
      </c>
      <c r="BN179" s="948">
        <f t="shared" si="315"/>
        <v>77.392554666666669</v>
      </c>
      <c r="BO179" s="948">
        <f t="shared" si="315"/>
        <v>77.392554666666669</v>
      </c>
      <c r="BP179" s="948">
        <f t="shared" si="315"/>
        <v>80.827733333333342</v>
      </c>
      <c r="BQ179" s="948">
        <f t="shared" si="315"/>
        <v>80.827733333333342</v>
      </c>
      <c r="BR179" s="948">
        <f t="shared" si="315"/>
        <v>251.751552</v>
      </c>
      <c r="BS179" s="948">
        <f t="shared" si="316"/>
        <v>0</v>
      </c>
      <c r="BT179" s="955">
        <f t="shared" si="317"/>
        <v>126.70965185185187</v>
      </c>
    </row>
    <row r="180" spans="1:72">
      <c r="A180" s="952">
        <v>6</v>
      </c>
      <c r="B180" s="952" t="s">
        <v>1156</v>
      </c>
      <c r="C180" s="950" t="s">
        <v>1116</v>
      </c>
      <c r="D180" s="950">
        <v>1</v>
      </c>
      <c r="E180" s="950">
        <v>1</v>
      </c>
      <c r="F180" s="948">
        <v>69.599999999999994</v>
      </c>
      <c r="G180" s="948">
        <v>0.25</v>
      </c>
      <c r="H180" s="948">
        <v>0.6</v>
      </c>
      <c r="I180" s="948">
        <v>0.12</v>
      </c>
      <c r="J180" s="948">
        <f t="shared" si="291"/>
        <v>0.48</v>
      </c>
      <c r="K180" s="948">
        <f>F180*G180*J180*D180*E180</f>
        <v>8.3519999999999985</v>
      </c>
      <c r="L180" s="948">
        <f t="shared" si="318"/>
        <v>66.815999999999988</v>
      </c>
      <c r="M180" s="952"/>
      <c r="N180" s="950">
        <f t="shared" si="319"/>
        <v>16</v>
      </c>
      <c r="O180" s="950">
        <f t="shared" si="319"/>
        <v>16</v>
      </c>
      <c r="P180" s="950">
        <f t="shared" si="319"/>
        <v>16</v>
      </c>
      <c r="Q180" s="950">
        <f t="shared" si="319"/>
        <v>16</v>
      </c>
      <c r="R180" s="950">
        <f t="shared" si="319"/>
        <v>16</v>
      </c>
      <c r="S180" s="950">
        <f t="shared" si="319"/>
        <v>16</v>
      </c>
      <c r="T180" s="950">
        <v>8</v>
      </c>
      <c r="U180" s="950"/>
      <c r="V180" s="950"/>
      <c r="W180" s="950">
        <v>200</v>
      </c>
      <c r="X180" s="950">
        <v>100</v>
      </c>
      <c r="Y180" s="950">
        <f t="shared" ref="Y180" si="321">X180</f>
        <v>100</v>
      </c>
      <c r="Z180" s="950">
        <v>9</v>
      </c>
      <c r="AA180" s="950">
        <v>6</v>
      </c>
      <c r="AB180" s="950">
        <v>16</v>
      </c>
      <c r="AC180" s="950">
        <v>16</v>
      </c>
      <c r="AD180" s="950">
        <v>9</v>
      </c>
      <c r="AE180" s="950">
        <v>6</v>
      </c>
      <c r="AF180" s="955">
        <f t="shared" si="293"/>
        <v>87.999999999999986</v>
      </c>
      <c r="AG180" s="955">
        <f t="shared" si="294"/>
        <v>348.99999999999994</v>
      </c>
      <c r="AH180" s="955">
        <f t="shared" si="295"/>
        <v>174.99999999999997</v>
      </c>
      <c r="AI180" s="955">
        <v>0</v>
      </c>
      <c r="AJ180" s="955">
        <v>0</v>
      </c>
      <c r="AK180" s="948">
        <f t="shared" si="296"/>
        <v>18.2</v>
      </c>
      <c r="AL180" s="948">
        <f t="shared" si="297"/>
        <v>18.2</v>
      </c>
      <c r="AM180" s="948">
        <f t="shared" si="298"/>
        <v>35.311999999999998</v>
      </c>
      <c r="AN180" s="948">
        <f t="shared" si="299"/>
        <v>35.311999999999998</v>
      </c>
      <c r="AO180" s="948">
        <f t="shared" si="300"/>
        <v>18.2</v>
      </c>
      <c r="AP180" s="948">
        <f t="shared" si="301"/>
        <v>18.2</v>
      </c>
      <c r="AQ180" s="948">
        <f t="shared" si="302"/>
        <v>1.508</v>
      </c>
      <c r="AR180" s="948">
        <f>((H180)+(2*6*U180/1000)-(2*0.03))*AI180</f>
        <v>0</v>
      </c>
      <c r="AS180" s="948">
        <f t="shared" si="304"/>
        <v>0</v>
      </c>
      <c r="AT180" s="948">
        <f t="shared" si="305"/>
        <v>163.79999999999998</v>
      </c>
      <c r="AU180" s="948">
        <f t="shared" si="306"/>
        <v>109.19999999999999</v>
      </c>
      <c r="AV180" s="948">
        <f t="shared" si="307"/>
        <v>564.99199999999996</v>
      </c>
      <c r="AW180" s="948">
        <f t="shared" si="308"/>
        <v>564.99199999999996</v>
      </c>
      <c r="AX180" s="948">
        <f t="shared" si="309"/>
        <v>163.79999999999998</v>
      </c>
      <c r="AY180" s="948">
        <f t="shared" si="310"/>
        <v>109.19999999999999</v>
      </c>
      <c r="AZ180" s="948">
        <f t="shared" si="311"/>
        <v>922.89599999999984</v>
      </c>
      <c r="BA180" s="948">
        <f t="shared" si="312"/>
        <v>0</v>
      </c>
      <c r="BB180" s="948">
        <f t="shared" si="313"/>
        <v>0</v>
      </c>
      <c r="BC180" s="957">
        <f t="shared" si="314"/>
        <v>1.5786666666666667</v>
      </c>
      <c r="BD180" s="957">
        <f t="shared" si="314"/>
        <v>1.5786666666666667</v>
      </c>
      <c r="BE180" s="957">
        <f t="shared" si="314"/>
        <v>1.5786666666666667</v>
      </c>
      <c r="BF180" s="957">
        <f t="shared" si="314"/>
        <v>1.5786666666666667</v>
      </c>
      <c r="BG180" s="957">
        <f t="shared" si="314"/>
        <v>1.5786666666666667</v>
      </c>
      <c r="BH180" s="957">
        <f t="shared" si="314"/>
        <v>1.5786666666666667</v>
      </c>
      <c r="BI180" s="957">
        <f t="shared" si="314"/>
        <v>0.39466666666666667</v>
      </c>
      <c r="BJ180" s="957">
        <f t="shared" si="314"/>
        <v>0</v>
      </c>
      <c r="BK180" s="957">
        <f t="shared" si="314"/>
        <v>0</v>
      </c>
      <c r="BL180" s="948">
        <f t="shared" si="315"/>
        <v>258.5856</v>
      </c>
      <c r="BM180" s="948">
        <f t="shared" si="315"/>
        <v>172.39039999999997</v>
      </c>
      <c r="BN180" s="948">
        <f t="shared" si="315"/>
        <v>891.93403733333332</v>
      </c>
      <c r="BO180" s="948">
        <f t="shared" si="315"/>
        <v>891.93403733333332</v>
      </c>
      <c r="BP180" s="948">
        <f t="shared" si="315"/>
        <v>258.5856</v>
      </c>
      <c r="BQ180" s="948">
        <f t="shared" si="315"/>
        <v>172.39039999999997</v>
      </c>
      <c r="BR180" s="948">
        <f t="shared" si="315"/>
        <v>364.23628799999994</v>
      </c>
      <c r="BS180" s="948">
        <f t="shared" si="316"/>
        <v>0</v>
      </c>
      <c r="BT180" s="955">
        <f t="shared" si="317"/>
        <v>360.39946871008942</v>
      </c>
    </row>
    <row r="181" spans="1:72">
      <c r="A181" s="952">
        <v>7</v>
      </c>
      <c r="B181" s="952" t="s">
        <v>1117</v>
      </c>
      <c r="C181" s="950" t="s">
        <v>1118</v>
      </c>
      <c r="D181" s="950">
        <v>1</v>
      </c>
      <c r="E181" s="950">
        <v>1</v>
      </c>
      <c r="F181" s="948">
        <v>96</v>
      </c>
      <c r="G181" s="948">
        <v>0.25</v>
      </c>
      <c r="H181" s="948">
        <v>0.6</v>
      </c>
      <c r="I181" s="948">
        <v>0.12</v>
      </c>
      <c r="J181" s="948">
        <f t="shared" si="291"/>
        <v>0.48</v>
      </c>
      <c r="K181" s="948">
        <f t="shared" ref="K181:K189" si="322">F181*G181*J181*D181*E181</f>
        <v>11.52</v>
      </c>
      <c r="L181" s="948">
        <f t="shared" si="318"/>
        <v>92.16</v>
      </c>
      <c r="M181" s="952"/>
      <c r="N181" s="950">
        <f>N180</f>
        <v>16</v>
      </c>
      <c r="O181" s="950">
        <f t="shared" si="319"/>
        <v>16</v>
      </c>
      <c r="P181" s="950">
        <f t="shared" si="319"/>
        <v>16</v>
      </c>
      <c r="Q181" s="950">
        <f t="shared" si="319"/>
        <v>16</v>
      </c>
      <c r="R181" s="950">
        <f t="shared" si="319"/>
        <v>16</v>
      </c>
      <c r="S181" s="950">
        <f t="shared" si="319"/>
        <v>16</v>
      </c>
      <c r="T181" s="950">
        <v>8</v>
      </c>
      <c r="U181" s="950"/>
      <c r="V181" s="950"/>
      <c r="W181" s="950">
        <v>200</v>
      </c>
      <c r="X181" s="950">
        <v>100</v>
      </c>
      <c r="Y181" s="950">
        <f>X181</f>
        <v>100</v>
      </c>
      <c r="Z181" s="950">
        <v>9</v>
      </c>
      <c r="AA181" s="950">
        <v>6</v>
      </c>
      <c r="AB181" s="950">
        <v>16</v>
      </c>
      <c r="AC181" s="950">
        <v>16</v>
      </c>
      <c r="AD181" s="950">
        <v>9</v>
      </c>
      <c r="AE181" s="950">
        <v>6</v>
      </c>
      <c r="AF181" s="955">
        <f t="shared" si="293"/>
        <v>121</v>
      </c>
      <c r="AG181" s="955">
        <f t="shared" si="294"/>
        <v>481</v>
      </c>
      <c r="AH181" s="955">
        <f t="shared" si="295"/>
        <v>241</v>
      </c>
      <c r="AI181" s="955">
        <v>0</v>
      </c>
      <c r="AJ181" s="955">
        <v>0</v>
      </c>
      <c r="AK181" s="948">
        <f t="shared" si="296"/>
        <v>24.8</v>
      </c>
      <c r="AL181" s="948">
        <f t="shared" si="297"/>
        <v>24.8</v>
      </c>
      <c r="AM181" s="948">
        <f t="shared" si="298"/>
        <v>48.512</v>
      </c>
      <c r="AN181" s="948">
        <f t="shared" si="299"/>
        <v>48.512</v>
      </c>
      <c r="AO181" s="948">
        <f t="shared" si="300"/>
        <v>24.8</v>
      </c>
      <c r="AP181" s="948">
        <f t="shared" si="301"/>
        <v>24.8</v>
      </c>
      <c r="AQ181" s="948">
        <f t="shared" si="302"/>
        <v>1.508</v>
      </c>
      <c r="AR181" s="948">
        <f t="shared" ref="AR181:AR189" si="323">((H181)+(2*6*U181/1000)-(2*0.03))*AI181</f>
        <v>0</v>
      </c>
      <c r="AS181" s="948">
        <f t="shared" si="304"/>
        <v>0</v>
      </c>
      <c r="AT181" s="948">
        <f t="shared" si="305"/>
        <v>223.20000000000002</v>
      </c>
      <c r="AU181" s="948">
        <f t="shared" si="306"/>
        <v>148.80000000000001</v>
      </c>
      <c r="AV181" s="948">
        <f t="shared" si="307"/>
        <v>776.19200000000001</v>
      </c>
      <c r="AW181" s="948">
        <f t="shared" si="308"/>
        <v>776.19200000000001</v>
      </c>
      <c r="AX181" s="948">
        <f t="shared" si="309"/>
        <v>223.20000000000002</v>
      </c>
      <c r="AY181" s="948">
        <f t="shared" si="310"/>
        <v>148.80000000000001</v>
      </c>
      <c r="AZ181" s="948">
        <f t="shared" si="311"/>
        <v>1271.2439999999999</v>
      </c>
      <c r="BA181" s="948">
        <f t="shared" si="312"/>
        <v>0</v>
      </c>
      <c r="BB181" s="948">
        <f t="shared" si="313"/>
        <v>0</v>
      </c>
      <c r="BC181" s="957">
        <f t="shared" si="314"/>
        <v>1.5786666666666667</v>
      </c>
      <c r="BD181" s="957">
        <f t="shared" si="314"/>
        <v>1.5786666666666667</v>
      </c>
      <c r="BE181" s="957">
        <f t="shared" si="314"/>
        <v>1.5786666666666667</v>
      </c>
      <c r="BF181" s="957">
        <f t="shared" si="314"/>
        <v>1.5786666666666667</v>
      </c>
      <c r="BG181" s="957">
        <f t="shared" si="314"/>
        <v>1.5786666666666667</v>
      </c>
      <c r="BH181" s="957">
        <f t="shared" si="314"/>
        <v>1.5786666666666667</v>
      </c>
      <c r="BI181" s="957">
        <f t="shared" si="314"/>
        <v>0.39466666666666667</v>
      </c>
      <c r="BJ181" s="957">
        <f t="shared" si="314"/>
        <v>0</v>
      </c>
      <c r="BK181" s="957">
        <f t="shared" si="314"/>
        <v>0</v>
      </c>
      <c r="BL181" s="948">
        <f t="shared" si="315"/>
        <v>352.35840000000002</v>
      </c>
      <c r="BM181" s="948">
        <f t="shared" si="315"/>
        <v>234.90560000000002</v>
      </c>
      <c r="BN181" s="948">
        <f t="shared" si="315"/>
        <v>1225.3484373333333</v>
      </c>
      <c r="BO181" s="948">
        <f t="shared" si="315"/>
        <v>1225.3484373333333</v>
      </c>
      <c r="BP181" s="948">
        <f t="shared" si="315"/>
        <v>352.35840000000002</v>
      </c>
      <c r="BQ181" s="948">
        <f t="shared" si="315"/>
        <v>234.90560000000002</v>
      </c>
      <c r="BR181" s="948">
        <f>AZ181*BI181</f>
        <v>501.71763199999998</v>
      </c>
      <c r="BS181" s="948">
        <f t="shared" si="316"/>
        <v>0</v>
      </c>
      <c r="BT181" s="955">
        <f t="shared" si="317"/>
        <v>358.24153703703701</v>
      </c>
    </row>
    <row r="182" spans="1:72">
      <c r="A182" s="952">
        <v>8</v>
      </c>
      <c r="B182" s="952" t="s">
        <v>1119</v>
      </c>
      <c r="C182" s="950" t="s">
        <v>1120</v>
      </c>
      <c r="D182" s="950">
        <v>1</v>
      </c>
      <c r="E182" s="950">
        <v>1</v>
      </c>
      <c r="F182" s="948">
        <v>16.8</v>
      </c>
      <c r="G182" s="948">
        <v>0.25</v>
      </c>
      <c r="H182" s="948">
        <v>0.6</v>
      </c>
      <c r="I182" s="948">
        <v>0.12</v>
      </c>
      <c r="J182" s="948">
        <f t="shared" si="291"/>
        <v>0.48</v>
      </c>
      <c r="K182" s="948">
        <f t="shared" si="322"/>
        <v>2.016</v>
      </c>
      <c r="L182" s="948">
        <f t="shared" si="318"/>
        <v>16.128</v>
      </c>
      <c r="M182" s="952"/>
      <c r="N182" s="950">
        <v>16</v>
      </c>
      <c r="O182" s="950">
        <v>16</v>
      </c>
      <c r="P182" s="950">
        <v>16</v>
      </c>
      <c r="Q182" s="950">
        <v>16</v>
      </c>
      <c r="R182" s="950">
        <v>16</v>
      </c>
      <c r="S182" s="950">
        <v>16</v>
      </c>
      <c r="T182" s="950">
        <v>8</v>
      </c>
      <c r="U182" s="950"/>
      <c r="V182" s="950"/>
      <c r="W182" s="950">
        <v>200</v>
      </c>
      <c r="X182" s="950">
        <v>100</v>
      </c>
      <c r="Y182" s="950">
        <v>100</v>
      </c>
      <c r="Z182" s="950">
        <v>4</v>
      </c>
      <c r="AA182" s="950">
        <v>4</v>
      </c>
      <c r="AB182" s="950">
        <v>2</v>
      </c>
      <c r="AC182" s="950">
        <v>2</v>
      </c>
      <c r="AD182" s="950">
        <v>4</v>
      </c>
      <c r="AE182" s="950">
        <v>4</v>
      </c>
      <c r="AF182" s="955">
        <f t="shared" si="293"/>
        <v>22</v>
      </c>
      <c r="AG182" s="955">
        <f t="shared" si="294"/>
        <v>85</v>
      </c>
      <c r="AH182" s="955">
        <f t="shared" si="295"/>
        <v>43</v>
      </c>
      <c r="AI182" s="955">
        <v>0</v>
      </c>
      <c r="AJ182" s="955">
        <v>0</v>
      </c>
      <c r="AK182" s="948">
        <f t="shared" si="296"/>
        <v>5.0000000000000009</v>
      </c>
      <c r="AL182" s="948">
        <f t="shared" si="297"/>
        <v>5.0000000000000009</v>
      </c>
      <c r="AM182" s="948">
        <f t="shared" si="298"/>
        <v>8.9120000000000008</v>
      </c>
      <c r="AN182" s="948">
        <f t="shared" si="299"/>
        <v>8.9120000000000008</v>
      </c>
      <c r="AO182" s="948">
        <f t="shared" si="300"/>
        <v>5.0000000000000009</v>
      </c>
      <c r="AP182" s="948">
        <f t="shared" si="301"/>
        <v>5.0000000000000009</v>
      </c>
      <c r="AQ182" s="948">
        <f t="shared" si="302"/>
        <v>1.508</v>
      </c>
      <c r="AR182" s="948">
        <f t="shared" si="323"/>
        <v>0</v>
      </c>
      <c r="AS182" s="948">
        <f t="shared" si="304"/>
        <v>0</v>
      </c>
      <c r="AT182" s="948">
        <f t="shared" si="305"/>
        <v>20.000000000000004</v>
      </c>
      <c r="AU182" s="948">
        <f t="shared" si="306"/>
        <v>20.000000000000004</v>
      </c>
      <c r="AV182" s="948">
        <f t="shared" si="307"/>
        <v>17.824000000000002</v>
      </c>
      <c r="AW182" s="948">
        <f t="shared" si="308"/>
        <v>17.824000000000002</v>
      </c>
      <c r="AX182" s="948">
        <f t="shared" si="309"/>
        <v>20.000000000000004</v>
      </c>
      <c r="AY182" s="948">
        <f t="shared" si="310"/>
        <v>20.000000000000004</v>
      </c>
      <c r="AZ182" s="948">
        <f t="shared" si="311"/>
        <v>226.2</v>
      </c>
      <c r="BA182" s="948">
        <f t="shared" si="312"/>
        <v>0</v>
      </c>
      <c r="BB182" s="948">
        <f t="shared" si="313"/>
        <v>0</v>
      </c>
      <c r="BC182" s="957">
        <f t="shared" si="314"/>
        <v>1.5786666666666667</v>
      </c>
      <c r="BD182" s="957">
        <f t="shared" si="314"/>
        <v>1.5786666666666667</v>
      </c>
      <c r="BE182" s="957">
        <f t="shared" si="314"/>
        <v>1.5786666666666667</v>
      </c>
      <c r="BF182" s="957">
        <f t="shared" si="314"/>
        <v>1.5786666666666667</v>
      </c>
      <c r="BG182" s="957">
        <f t="shared" si="314"/>
        <v>1.5786666666666667</v>
      </c>
      <c r="BH182" s="957">
        <f t="shared" si="314"/>
        <v>1.5786666666666667</v>
      </c>
      <c r="BI182" s="957">
        <f t="shared" si="314"/>
        <v>0.39466666666666667</v>
      </c>
      <c r="BJ182" s="957">
        <f t="shared" si="314"/>
        <v>0</v>
      </c>
      <c r="BK182" s="957">
        <f t="shared" si="314"/>
        <v>0</v>
      </c>
      <c r="BL182" s="948">
        <f t="shared" si="315"/>
        <v>31.573333333333338</v>
      </c>
      <c r="BM182" s="948">
        <f t="shared" si="315"/>
        <v>31.573333333333338</v>
      </c>
      <c r="BN182" s="948">
        <f t="shared" si="315"/>
        <v>28.138154666666669</v>
      </c>
      <c r="BO182" s="948">
        <f t="shared" si="315"/>
        <v>28.138154666666669</v>
      </c>
      <c r="BP182" s="948">
        <f t="shared" si="315"/>
        <v>31.573333333333338</v>
      </c>
      <c r="BQ182" s="948">
        <f t="shared" si="315"/>
        <v>31.573333333333338</v>
      </c>
      <c r="BR182" s="948">
        <f t="shared" si="315"/>
        <v>89.273600000000002</v>
      </c>
      <c r="BS182" s="948">
        <f t="shared" si="316"/>
        <v>0</v>
      </c>
      <c r="BT182" s="955">
        <f t="shared" si="317"/>
        <v>134.8428783068783</v>
      </c>
    </row>
    <row r="183" spans="1:72">
      <c r="A183" s="952">
        <v>9</v>
      </c>
      <c r="B183" s="952" t="s">
        <v>1121</v>
      </c>
      <c r="C183" s="950" t="s">
        <v>1122</v>
      </c>
      <c r="D183" s="950">
        <v>1</v>
      </c>
      <c r="E183" s="950">
        <v>1</v>
      </c>
      <c r="F183" s="948">
        <v>36</v>
      </c>
      <c r="G183" s="948">
        <v>0.25</v>
      </c>
      <c r="H183" s="948">
        <v>0.6</v>
      </c>
      <c r="I183" s="948">
        <v>0.12</v>
      </c>
      <c r="J183" s="948">
        <f t="shared" si="291"/>
        <v>0.48</v>
      </c>
      <c r="K183" s="948">
        <f t="shared" si="322"/>
        <v>4.32</v>
      </c>
      <c r="L183" s="948">
        <f t="shared" si="318"/>
        <v>34.56</v>
      </c>
      <c r="M183" s="952"/>
      <c r="N183" s="950">
        <v>16</v>
      </c>
      <c r="O183" s="950">
        <v>16</v>
      </c>
      <c r="P183" s="950">
        <v>16</v>
      </c>
      <c r="Q183" s="950">
        <v>16</v>
      </c>
      <c r="R183" s="950">
        <v>16</v>
      </c>
      <c r="S183" s="950">
        <v>16</v>
      </c>
      <c r="T183" s="950">
        <v>8</v>
      </c>
      <c r="U183" s="950"/>
      <c r="V183" s="950"/>
      <c r="W183" s="950">
        <v>200</v>
      </c>
      <c r="X183" s="950">
        <v>100</v>
      </c>
      <c r="Y183" s="950">
        <v>100</v>
      </c>
      <c r="Z183" s="950">
        <v>10</v>
      </c>
      <c r="AA183" s="950">
        <v>10</v>
      </c>
      <c r="AB183" s="950">
        <v>10</v>
      </c>
      <c r="AC183" s="950">
        <v>10</v>
      </c>
      <c r="AD183" s="950">
        <v>10</v>
      </c>
      <c r="AE183" s="950">
        <v>10</v>
      </c>
      <c r="AF183" s="955">
        <f t="shared" si="293"/>
        <v>46</v>
      </c>
      <c r="AG183" s="955">
        <f t="shared" si="294"/>
        <v>181</v>
      </c>
      <c r="AH183" s="955">
        <f t="shared" si="295"/>
        <v>91</v>
      </c>
      <c r="AI183" s="955">
        <v>0</v>
      </c>
      <c r="AJ183" s="955">
        <v>0</v>
      </c>
      <c r="AK183" s="948">
        <f t="shared" si="296"/>
        <v>9.8000000000000007</v>
      </c>
      <c r="AL183" s="948">
        <f t="shared" si="297"/>
        <v>9.8000000000000007</v>
      </c>
      <c r="AM183" s="948">
        <f t="shared" si="298"/>
        <v>18.512</v>
      </c>
      <c r="AN183" s="948">
        <f t="shared" si="299"/>
        <v>18.512</v>
      </c>
      <c r="AO183" s="948">
        <f t="shared" si="300"/>
        <v>9.8000000000000007</v>
      </c>
      <c r="AP183" s="948">
        <f t="shared" si="301"/>
        <v>9.8000000000000007</v>
      </c>
      <c r="AQ183" s="948">
        <f t="shared" si="302"/>
        <v>1.508</v>
      </c>
      <c r="AR183" s="948">
        <f t="shared" si="323"/>
        <v>0</v>
      </c>
      <c r="AS183" s="948">
        <f t="shared" si="304"/>
        <v>0</v>
      </c>
      <c r="AT183" s="948">
        <f t="shared" si="305"/>
        <v>98</v>
      </c>
      <c r="AU183" s="948">
        <f t="shared" si="306"/>
        <v>98</v>
      </c>
      <c r="AV183" s="948">
        <f t="shared" si="307"/>
        <v>185.12</v>
      </c>
      <c r="AW183" s="948">
        <f t="shared" si="308"/>
        <v>185.12</v>
      </c>
      <c r="AX183" s="948">
        <f t="shared" si="309"/>
        <v>98</v>
      </c>
      <c r="AY183" s="948">
        <f t="shared" si="310"/>
        <v>98</v>
      </c>
      <c r="AZ183" s="948">
        <f t="shared" si="311"/>
        <v>479.54399999999998</v>
      </c>
      <c r="BA183" s="948">
        <f t="shared" si="312"/>
        <v>0</v>
      </c>
      <c r="BB183" s="948">
        <f t="shared" si="313"/>
        <v>0</v>
      </c>
      <c r="BC183" s="957">
        <f t="shared" si="314"/>
        <v>1.5786666666666667</v>
      </c>
      <c r="BD183" s="957">
        <f t="shared" si="314"/>
        <v>1.5786666666666667</v>
      </c>
      <c r="BE183" s="957">
        <f t="shared" si="314"/>
        <v>1.5786666666666667</v>
      </c>
      <c r="BF183" s="957">
        <f t="shared" si="314"/>
        <v>1.5786666666666667</v>
      </c>
      <c r="BG183" s="957">
        <f t="shared" si="314"/>
        <v>1.5786666666666667</v>
      </c>
      <c r="BH183" s="957">
        <f t="shared" si="314"/>
        <v>1.5786666666666667</v>
      </c>
      <c r="BI183" s="957">
        <f t="shared" si="314"/>
        <v>0.39466666666666667</v>
      </c>
      <c r="BJ183" s="957">
        <f t="shared" si="314"/>
        <v>0</v>
      </c>
      <c r="BK183" s="957">
        <f t="shared" si="314"/>
        <v>0</v>
      </c>
      <c r="BL183" s="948">
        <f t="shared" si="315"/>
        <v>154.70933333333332</v>
      </c>
      <c r="BM183" s="948">
        <f t="shared" si="315"/>
        <v>154.70933333333332</v>
      </c>
      <c r="BN183" s="948">
        <f t="shared" si="315"/>
        <v>292.24277333333333</v>
      </c>
      <c r="BO183" s="948">
        <f t="shared" si="315"/>
        <v>292.24277333333333</v>
      </c>
      <c r="BP183" s="948">
        <f t="shared" si="315"/>
        <v>154.70933333333332</v>
      </c>
      <c r="BQ183" s="948">
        <f t="shared" si="315"/>
        <v>154.70933333333332</v>
      </c>
      <c r="BR183" s="948">
        <f t="shared" si="315"/>
        <v>189.260032</v>
      </c>
      <c r="BS183" s="948">
        <f t="shared" si="316"/>
        <v>0</v>
      </c>
      <c r="BT183" s="955">
        <f t="shared" si="317"/>
        <v>322.35715555555544</v>
      </c>
    </row>
    <row r="184" spans="1:72">
      <c r="A184" s="952">
        <v>10</v>
      </c>
      <c r="B184" s="952" t="s">
        <v>1087</v>
      </c>
      <c r="C184" s="950" t="s">
        <v>1123</v>
      </c>
      <c r="D184" s="950">
        <v>1</v>
      </c>
      <c r="E184" s="950">
        <v>1</v>
      </c>
      <c r="F184" s="948">
        <v>30</v>
      </c>
      <c r="G184" s="948">
        <v>0.3</v>
      </c>
      <c r="H184" s="948">
        <v>0.65</v>
      </c>
      <c r="I184" s="948">
        <v>0.12</v>
      </c>
      <c r="J184" s="948">
        <f t="shared" si="291"/>
        <v>0.53</v>
      </c>
      <c r="K184" s="948">
        <f t="shared" si="322"/>
        <v>4.7700000000000005</v>
      </c>
      <c r="L184" s="948">
        <f t="shared" si="318"/>
        <v>31.8</v>
      </c>
      <c r="M184" s="952"/>
      <c r="N184" s="950">
        <v>16</v>
      </c>
      <c r="O184" s="950">
        <v>16</v>
      </c>
      <c r="P184" s="950">
        <v>16</v>
      </c>
      <c r="Q184" s="950">
        <v>16</v>
      </c>
      <c r="R184" s="950">
        <v>16</v>
      </c>
      <c r="S184" s="950">
        <v>16</v>
      </c>
      <c r="T184" s="950">
        <v>8</v>
      </c>
      <c r="U184" s="950"/>
      <c r="V184" s="950"/>
      <c r="W184" s="950">
        <v>200</v>
      </c>
      <c r="X184" s="950">
        <v>100</v>
      </c>
      <c r="Y184" s="950">
        <v>100</v>
      </c>
      <c r="Z184" s="950">
        <v>9</v>
      </c>
      <c r="AA184" s="950">
        <v>6</v>
      </c>
      <c r="AB184" s="950">
        <v>8</v>
      </c>
      <c r="AC184" s="950">
        <v>8</v>
      </c>
      <c r="AD184" s="950">
        <v>9</v>
      </c>
      <c r="AE184" s="950">
        <v>6</v>
      </c>
      <c r="AF184" s="955">
        <f t="shared" si="293"/>
        <v>38.5</v>
      </c>
      <c r="AG184" s="955">
        <f t="shared" si="294"/>
        <v>151</v>
      </c>
      <c r="AH184" s="955">
        <f t="shared" si="295"/>
        <v>76</v>
      </c>
      <c r="AI184" s="955">
        <v>0</v>
      </c>
      <c r="AJ184" s="955">
        <v>0</v>
      </c>
      <c r="AK184" s="948">
        <f t="shared" si="296"/>
        <v>8.3000000000000007</v>
      </c>
      <c r="AL184" s="948">
        <f t="shared" si="297"/>
        <v>8.3000000000000007</v>
      </c>
      <c r="AM184" s="948">
        <f t="shared" si="298"/>
        <v>15.512</v>
      </c>
      <c r="AN184" s="948">
        <f t="shared" si="299"/>
        <v>15.512</v>
      </c>
      <c r="AO184" s="948">
        <f t="shared" si="300"/>
        <v>8.3000000000000007</v>
      </c>
      <c r="AP184" s="948">
        <f t="shared" si="301"/>
        <v>8.3000000000000007</v>
      </c>
      <c r="AQ184" s="948">
        <f t="shared" si="302"/>
        <v>1.708</v>
      </c>
      <c r="AR184" s="948">
        <f t="shared" si="323"/>
        <v>0</v>
      </c>
      <c r="AS184" s="948">
        <f t="shared" si="304"/>
        <v>0</v>
      </c>
      <c r="AT184" s="948">
        <f t="shared" si="305"/>
        <v>74.7</v>
      </c>
      <c r="AU184" s="948">
        <f t="shared" si="306"/>
        <v>49.800000000000004</v>
      </c>
      <c r="AV184" s="948">
        <f t="shared" si="307"/>
        <v>124.096</v>
      </c>
      <c r="AW184" s="948">
        <f t="shared" si="308"/>
        <v>124.096</v>
      </c>
      <c r="AX184" s="948">
        <f t="shared" si="309"/>
        <v>74.7</v>
      </c>
      <c r="AY184" s="948">
        <f t="shared" si="310"/>
        <v>49.800000000000004</v>
      </c>
      <c r="AZ184" s="948">
        <f t="shared" si="311"/>
        <v>453.47399999999999</v>
      </c>
      <c r="BA184" s="948">
        <f t="shared" si="312"/>
        <v>0</v>
      </c>
      <c r="BB184" s="948">
        <f t="shared" si="313"/>
        <v>0</v>
      </c>
      <c r="BC184" s="957">
        <f t="shared" si="314"/>
        <v>1.5786666666666667</v>
      </c>
      <c r="BD184" s="957">
        <f t="shared" si="314"/>
        <v>1.5786666666666667</v>
      </c>
      <c r="BE184" s="957">
        <f t="shared" si="314"/>
        <v>1.5786666666666667</v>
      </c>
      <c r="BF184" s="957">
        <f t="shared" si="314"/>
        <v>1.5786666666666667</v>
      </c>
      <c r="BG184" s="957">
        <f t="shared" si="314"/>
        <v>1.5786666666666667</v>
      </c>
      <c r="BH184" s="957">
        <f t="shared" si="314"/>
        <v>1.5786666666666667</v>
      </c>
      <c r="BI184" s="957">
        <f t="shared" si="314"/>
        <v>0.39466666666666667</v>
      </c>
      <c r="BJ184" s="957">
        <f t="shared" si="314"/>
        <v>0</v>
      </c>
      <c r="BK184" s="957">
        <f t="shared" si="314"/>
        <v>0</v>
      </c>
      <c r="BL184" s="948">
        <f t="shared" si="315"/>
        <v>117.9264</v>
      </c>
      <c r="BM184" s="948">
        <f t="shared" si="315"/>
        <v>78.61760000000001</v>
      </c>
      <c r="BN184" s="948">
        <f t="shared" si="315"/>
        <v>195.90621866666666</v>
      </c>
      <c r="BO184" s="948">
        <f t="shared" si="315"/>
        <v>195.90621866666666</v>
      </c>
      <c r="BP184" s="948">
        <f t="shared" si="315"/>
        <v>117.9264</v>
      </c>
      <c r="BQ184" s="948">
        <f t="shared" si="315"/>
        <v>78.61760000000001</v>
      </c>
      <c r="BR184" s="948">
        <f t="shared" si="315"/>
        <v>178.97107199999999</v>
      </c>
      <c r="BS184" s="948">
        <f t="shared" si="316"/>
        <v>0</v>
      </c>
      <c r="BT184" s="955">
        <f t="shared" si="317"/>
        <v>202.06949881201959</v>
      </c>
    </row>
    <row r="185" spans="1:72">
      <c r="A185" s="952">
        <v>11</v>
      </c>
      <c r="B185" s="952" t="s">
        <v>1124</v>
      </c>
      <c r="C185" s="950" t="s">
        <v>1125</v>
      </c>
      <c r="D185" s="950">
        <v>1</v>
      </c>
      <c r="E185" s="950">
        <v>1</v>
      </c>
      <c r="F185" s="948">
        <v>24</v>
      </c>
      <c r="G185" s="948">
        <v>0.3</v>
      </c>
      <c r="H185" s="948">
        <v>0.65</v>
      </c>
      <c r="I185" s="948">
        <v>0.12</v>
      </c>
      <c r="J185" s="948">
        <f t="shared" si="291"/>
        <v>0.53</v>
      </c>
      <c r="K185" s="948">
        <f t="shared" si="322"/>
        <v>3.8159999999999998</v>
      </c>
      <c r="L185" s="948">
        <f t="shared" si="318"/>
        <v>25.44</v>
      </c>
      <c r="M185" s="952"/>
      <c r="N185" s="950">
        <f t="shared" ref="N185:S186" si="324">N181</f>
        <v>16</v>
      </c>
      <c r="O185" s="950">
        <f t="shared" si="324"/>
        <v>16</v>
      </c>
      <c r="P185" s="950">
        <f t="shared" si="324"/>
        <v>16</v>
      </c>
      <c r="Q185" s="950">
        <f t="shared" si="324"/>
        <v>16</v>
      </c>
      <c r="R185" s="950">
        <f t="shared" si="324"/>
        <v>16</v>
      </c>
      <c r="S185" s="950">
        <f t="shared" si="324"/>
        <v>16</v>
      </c>
      <c r="T185" s="950">
        <v>8</v>
      </c>
      <c r="U185" s="950"/>
      <c r="V185" s="950"/>
      <c r="W185" s="950">
        <v>200</v>
      </c>
      <c r="X185" s="950">
        <v>100</v>
      </c>
      <c r="Y185" s="950">
        <f t="shared" ref="Y185:Y186" si="325">Y181</f>
        <v>100</v>
      </c>
      <c r="Z185" s="950">
        <v>4</v>
      </c>
      <c r="AA185" s="950">
        <v>4</v>
      </c>
      <c r="AB185" s="950">
        <v>2</v>
      </c>
      <c r="AC185" s="950">
        <v>2</v>
      </c>
      <c r="AD185" s="950">
        <v>4</v>
      </c>
      <c r="AE185" s="950">
        <v>4</v>
      </c>
      <c r="AF185" s="955">
        <f t="shared" si="293"/>
        <v>31</v>
      </c>
      <c r="AG185" s="955">
        <f t="shared" si="294"/>
        <v>121</v>
      </c>
      <c r="AH185" s="955">
        <f t="shared" si="295"/>
        <v>61</v>
      </c>
      <c r="AI185" s="955">
        <v>0</v>
      </c>
      <c r="AJ185" s="955">
        <v>0</v>
      </c>
      <c r="AK185" s="948">
        <f t="shared" si="296"/>
        <v>6.8000000000000007</v>
      </c>
      <c r="AL185" s="948">
        <f t="shared" si="297"/>
        <v>6.8000000000000007</v>
      </c>
      <c r="AM185" s="948">
        <f t="shared" si="298"/>
        <v>12.512</v>
      </c>
      <c r="AN185" s="948">
        <f t="shared" si="299"/>
        <v>12.512</v>
      </c>
      <c r="AO185" s="948">
        <f t="shared" si="300"/>
        <v>6.8000000000000007</v>
      </c>
      <c r="AP185" s="948">
        <f t="shared" si="301"/>
        <v>6.8000000000000007</v>
      </c>
      <c r="AQ185" s="948">
        <f t="shared" si="302"/>
        <v>1.708</v>
      </c>
      <c r="AR185" s="948">
        <f t="shared" si="323"/>
        <v>0</v>
      </c>
      <c r="AS185" s="948">
        <f t="shared" si="304"/>
        <v>0</v>
      </c>
      <c r="AT185" s="948">
        <f t="shared" si="305"/>
        <v>27.200000000000003</v>
      </c>
      <c r="AU185" s="948">
        <f t="shared" si="306"/>
        <v>27.200000000000003</v>
      </c>
      <c r="AV185" s="948">
        <f t="shared" si="307"/>
        <v>25.024000000000001</v>
      </c>
      <c r="AW185" s="948">
        <f t="shared" si="308"/>
        <v>25.024000000000001</v>
      </c>
      <c r="AX185" s="948">
        <f t="shared" si="309"/>
        <v>27.200000000000003</v>
      </c>
      <c r="AY185" s="948">
        <f t="shared" si="310"/>
        <v>27.200000000000003</v>
      </c>
      <c r="AZ185" s="948">
        <f t="shared" si="311"/>
        <v>363.80399999999997</v>
      </c>
      <c r="BA185" s="948">
        <f t="shared" si="312"/>
        <v>0</v>
      </c>
      <c r="BB185" s="948">
        <f t="shared" si="313"/>
        <v>0</v>
      </c>
      <c r="BC185" s="957">
        <f t="shared" si="314"/>
        <v>1.5786666666666667</v>
      </c>
      <c r="BD185" s="957">
        <f t="shared" si="314"/>
        <v>1.5786666666666667</v>
      </c>
      <c r="BE185" s="957">
        <f t="shared" si="314"/>
        <v>1.5786666666666667</v>
      </c>
      <c r="BF185" s="957">
        <f t="shared" si="314"/>
        <v>1.5786666666666667</v>
      </c>
      <c r="BG185" s="957">
        <f t="shared" si="314"/>
        <v>1.5786666666666667</v>
      </c>
      <c r="BH185" s="957">
        <f t="shared" si="314"/>
        <v>1.5786666666666667</v>
      </c>
      <c r="BI185" s="957">
        <f t="shared" si="314"/>
        <v>0.39466666666666667</v>
      </c>
      <c r="BJ185" s="957">
        <f t="shared" si="314"/>
        <v>0</v>
      </c>
      <c r="BK185" s="957">
        <f t="shared" si="314"/>
        <v>0</v>
      </c>
      <c r="BL185" s="948">
        <f t="shared" si="315"/>
        <v>42.939733333333336</v>
      </c>
      <c r="BM185" s="948">
        <f t="shared" si="315"/>
        <v>42.939733333333336</v>
      </c>
      <c r="BN185" s="948">
        <f t="shared" si="315"/>
        <v>39.504554666666671</v>
      </c>
      <c r="BO185" s="948">
        <f t="shared" si="315"/>
        <v>39.504554666666671</v>
      </c>
      <c r="BP185" s="948">
        <f t="shared" si="315"/>
        <v>42.939733333333336</v>
      </c>
      <c r="BQ185" s="948">
        <f t="shared" si="315"/>
        <v>42.939733333333336</v>
      </c>
      <c r="BR185" s="948">
        <f t="shared" si="315"/>
        <v>143.581312</v>
      </c>
      <c r="BS185" s="948">
        <f t="shared" si="316"/>
        <v>0</v>
      </c>
      <c r="BT185" s="955">
        <f t="shared" si="317"/>
        <v>103.34102585604474</v>
      </c>
    </row>
    <row r="186" spans="1:72">
      <c r="A186" s="952">
        <v>12</v>
      </c>
      <c r="B186" s="952" t="s">
        <v>1126</v>
      </c>
      <c r="C186" s="950" t="s">
        <v>1127</v>
      </c>
      <c r="D186" s="950">
        <v>1</v>
      </c>
      <c r="E186" s="950">
        <v>1</v>
      </c>
      <c r="F186" s="948">
        <v>16</v>
      </c>
      <c r="G186" s="948">
        <v>0.3</v>
      </c>
      <c r="H186" s="948">
        <v>0.65</v>
      </c>
      <c r="I186" s="948">
        <v>0.12</v>
      </c>
      <c r="J186" s="948">
        <f t="shared" si="291"/>
        <v>0.53</v>
      </c>
      <c r="K186" s="948">
        <f t="shared" si="322"/>
        <v>2.544</v>
      </c>
      <c r="L186" s="948">
        <f t="shared" si="318"/>
        <v>16.96</v>
      </c>
      <c r="M186" s="952"/>
      <c r="N186" s="950">
        <f t="shared" si="324"/>
        <v>16</v>
      </c>
      <c r="O186" s="950">
        <f t="shared" si="324"/>
        <v>16</v>
      </c>
      <c r="P186" s="950">
        <f t="shared" si="324"/>
        <v>16</v>
      </c>
      <c r="Q186" s="950">
        <f t="shared" si="324"/>
        <v>16</v>
      </c>
      <c r="R186" s="950">
        <f t="shared" si="324"/>
        <v>16</v>
      </c>
      <c r="S186" s="950">
        <f t="shared" si="324"/>
        <v>16</v>
      </c>
      <c r="T186" s="950">
        <v>8</v>
      </c>
      <c r="U186" s="950"/>
      <c r="V186" s="950"/>
      <c r="W186" s="950">
        <v>200</v>
      </c>
      <c r="X186" s="950">
        <v>100</v>
      </c>
      <c r="Y186" s="950">
        <f t="shared" si="325"/>
        <v>100</v>
      </c>
      <c r="Z186" s="950">
        <v>4</v>
      </c>
      <c r="AA186" s="950">
        <v>4</v>
      </c>
      <c r="AB186" s="950">
        <v>2</v>
      </c>
      <c r="AC186" s="950">
        <v>2</v>
      </c>
      <c r="AD186" s="950">
        <v>4</v>
      </c>
      <c r="AE186" s="950">
        <v>4</v>
      </c>
      <c r="AF186" s="955">
        <f t="shared" si="293"/>
        <v>21</v>
      </c>
      <c r="AG186" s="955">
        <f t="shared" si="294"/>
        <v>81</v>
      </c>
      <c r="AH186" s="955">
        <f t="shared" si="295"/>
        <v>41</v>
      </c>
      <c r="AI186" s="955">
        <v>0</v>
      </c>
      <c r="AJ186" s="955">
        <v>0</v>
      </c>
      <c r="AK186" s="948">
        <f t="shared" si="296"/>
        <v>4.8000000000000007</v>
      </c>
      <c r="AL186" s="948">
        <f t="shared" si="297"/>
        <v>4.8000000000000007</v>
      </c>
      <c r="AM186" s="948">
        <f t="shared" si="298"/>
        <v>8.5120000000000005</v>
      </c>
      <c r="AN186" s="948">
        <f t="shared" si="299"/>
        <v>8.5120000000000005</v>
      </c>
      <c r="AO186" s="948">
        <f t="shared" si="300"/>
        <v>4.8000000000000007</v>
      </c>
      <c r="AP186" s="948">
        <f t="shared" si="301"/>
        <v>4.8000000000000007</v>
      </c>
      <c r="AQ186" s="948">
        <f t="shared" si="302"/>
        <v>1.708</v>
      </c>
      <c r="AR186" s="948">
        <f t="shared" si="323"/>
        <v>0</v>
      </c>
      <c r="AS186" s="948">
        <f t="shared" si="304"/>
        <v>0</v>
      </c>
      <c r="AT186" s="948">
        <f t="shared" si="305"/>
        <v>19.200000000000003</v>
      </c>
      <c r="AU186" s="948">
        <f t="shared" si="306"/>
        <v>19.200000000000003</v>
      </c>
      <c r="AV186" s="948">
        <f t="shared" si="307"/>
        <v>17.024000000000001</v>
      </c>
      <c r="AW186" s="948">
        <f t="shared" si="308"/>
        <v>17.024000000000001</v>
      </c>
      <c r="AX186" s="948">
        <f t="shared" si="309"/>
        <v>19.200000000000003</v>
      </c>
      <c r="AY186" s="948">
        <f t="shared" si="310"/>
        <v>19.200000000000003</v>
      </c>
      <c r="AZ186" s="948">
        <f t="shared" si="311"/>
        <v>244.244</v>
      </c>
      <c r="BA186" s="948">
        <f t="shared" si="312"/>
        <v>0</v>
      </c>
      <c r="BB186" s="948">
        <f t="shared" si="313"/>
        <v>0</v>
      </c>
      <c r="BC186" s="957">
        <f t="shared" si="314"/>
        <v>1.5786666666666667</v>
      </c>
      <c r="BD186" s="957">
        <f t="shared" si="314"/>
        <v>1.5786666666666667</v>
      </c>
      <c r="BE186" s="957">
        <f t="shared" si="314"/>
        <v>1.5786666666666667</v>
      </c>
      <c r="BF186" s="957">
        <f t="shared" si="314"/>
        <v>1.5786666666666667</v>
      </c>
      <c r="BG186" s="957">
        <f t="shared" si="314"/>
        <v>1.5786666666666667</v>
      </c>
      <c r="BH186" s="957">
        <f t="shared" si="314"/>
        <v>1.5786666666666667</v>
      </c>
      <c r="BI186" s="957">
        <f t="shared" si="314"/>
        <v>0.39466666666666667</v>
      </c>
      <c r="BJ186" s="957">
        <f t="shared" si="314"/>
        <v>0</v>
      </c>
      <c r="BK186" s="957">
        <f t="shared" si="314"/>
        <v>0</v>
      </c>
      <c r="BL186" s="948">
        <f t="shared" si="315"/>
        <v>30.310400000000005</v>
      </c>
      <c r="BM186" s="948">
        <f t="shared" si="315"/>
        <v>30.310400000000005</v>
      </c>
      <c r="BN186" s="948">
        <f t="shared" si="315"/>
        <v>26.875221333333336</v>
      </c>
      <c r="BO186" s="948">
        <f t="shared" si="315"/>
        <v>26.875221333333336</v>
      </c>
      <c r="BP186" s="948">
        <f t="shared" si="315"/>
        <v>30.310400000000005</v>
      </c>
      <c r="BQ186" s="948">
        <f t="shared" si="315"/>
        <v>30.310400000000005</v>
      </c>
      <c r="BR186" s="948">
        <f t="shared" si="315"/>
        <v>96.394965333333332</v>
      </c>
      <c r="BS186" s="948">
        <f t="shared" si="316"/>
        <v>0</v>
      </c>
      <c r="BT186" s="955">
        <f t="shared" si="317"/>
        <v>106.67728301886794</v>
      </c>
    </row>
    <row r="187" spans="1:72">
      <c r="A187" s="952">
        <v>13</v>
      </c>
      <c r="B187" s="952" t="s">
        <v>1128</v>
      </c>
      <c r="C187" s="950" t="s">
        <v>1129</v>
      </c>
      <c r="D187" s="950">
        <v>1</v>
      </c>
      <c r="E187" s="950">
        <v>1</v>
      </c>
      <c r="F187" s="948">
        <v>25.2</v>
      </c>
      <c r="G187" s="948">
        <v>0.3</v>
      </c>
      <c r="H187" s="948">
        <v>0.65</v>
      </c>
      <c r="I187" s="948">
        <v>0.12</v>
      </c>
      <c r="J187" s="948">
        <f t="shared" si="291"/>
        <v>0.53</v>
      </c>
      <c r="K187" s="948">
        <f t="shared" si="322"/>
        <v>4.0068000000000001</v>
      </c>
      <c r="L187" s="948">
        <f t="shared" si="318"/>
        <v>26.712</v>
      </c>
      <c r="M187" s="952"/>
      <c r="N187" s="950">
        <f t="shared" ref="N187:S187" si="326">N182</f>
        <v>16</v>
      </c>
      <c r="O187" s="950">
        <f t="shared" si="326"/>
        <v>16</v>
      </c>
      <c r="P187" s="950">
        <f t="shared" si="326"/>
        <v>16</v>
      </c>
      <c r="Q187" s="950">
        <f t="shared" si="326"/>
        <v>16</v>
      </c>
      <c r="R187" s="950">
        <f t="shared" si="326"/>
        <v>16</v>
      </c>
      <c r="S187" s="950">
        <f t="shared" si="326"/>
        <v>16</v>
      </c>
      <c r="T187" s="950">
        <v>8</v>
      </c>
      <c r="U187" s="950"/>
      <c r="V187" s="950"/>
      <c r="W187" s="950">
        <v>200</v>
      </c>
      <c r="X187" s="950">
        <v>100</v>
      </c>
      <c r="Y187" s="950">
        <f t="shared" ref="Y187" si="327">X187</f>
        <v>100</v>
      </c>
      <c r="Z187" s="950">
        <v>9</v>
      </c>
      <c r="AA187" s="950">
        <v>6</v>
      </c>
      <c r="AB187" s="950">
        <v>16</v>
      </c>
      <c r="AC187" s="950">
        <v>16</v>
      </c>
      <c r="AD187" s="950">
        <v>9</v>
      </c>
      <c r="AE187" s="950">
        <v>6</v>
      </c>
      <c r="AF187" s="955">
        <f t="shared" si="293"/>
        <v>32.5</v>
      </c>
      <c r="AG187" s="955">
        <f t="shared" si="294"/>
        <v>126.99999999999999</v>
      </c>
      <c r="AH187" s="955">
        <f t="shared" si="295"/>
        <v>63.999999999999993</v>
      </c>
      <c r="AI187" s="955">
        <v>0</v>
      </c>
      <c r="AJ187" s="955">
        <v>0</v>
      </c>
      <c r="AK187" s="948">
        <f t="shared" si="296"/>
        <v>7.1000000000000005</v>
      </c>
      <c r="AL187" s="948">
        <f t="shared" si="297"/>
        <v>7.1000000000000005</v>
      </c>
      <c r="AM187" s="948">
        <f t="shared" si="298"/>
        <v>13.112</v>
      </c>
      <c r="AN187" s="948">
        <f t="shared" si="299"/>
        <v>13.112</v>
      </c>
      <c r="AO187" s="948">
        <f t="shared" si="300"/>
        <v>7.1000000000000005</v>
      </c>
      <c r="AP187" s="948">
        <f t="shared" si="301"/>
        <v>7.1000000000000005</v>
      </c>
      <c r="AQ187" s="948">
        <f t="shared" si="302"/>
        <v>1.708</v>
      </c>
      <c r="AR187" s="948">
        <f t="shared" si="323"/>
        <v>0</v>
      </c>
      <c r="AS187" s="948">
        <f t="shared" si="304"/>
        <v>0</v>
      </c>
      <c r="AT187" s="948">
        <f t="shared" si="305"/>
        <v>63.900000000000006</v>
      </c>
      <c r="AU187" s="948">
        <f t="shared" si="306"/>
        <v>42.6</v>
      </c>
      <c r="AV187" s="948">
        <f t="shared" si="307"/>
        <v>209.792</v>
      </c>
      <c r="AW187" s="948">
        <f t="shared" si="308"/>
        <v>209.792</v>
      </c>
      <c r="AX187" s="948">
        <f t="shared" si="309"/>
        <v>63.900000000000006</v>
      </c>
      <c r="AY187" s="948">
        <f t="shared" si="310"/>
        <v>42.6</v>
      </c>
      <c r="AZ187" s="948">
        <f t="shared" si="311"/>
        <v>381.738</v>
      </c>
      <c r="BA187" s="948">
        <f t="shared" si="312"/>
        <v>0</v>
      </c>
      <c r="BB187" s="948">
        <f t="shared" si="313"/>
        <v>0</v>
      </c>
      <c r="BC187" s="957">
        <f t="shared" si="314"/>
        <v>1.5786666666666667</v>
      </c>
      <c r="BD187" s="957">
        <f t="shared" si="314"/>
        <v>1.5786666666666667</v>
      </c>
      <c r="BE187" s="957">
        <f t="shared" si="314"/>
        <v>1.5786666666666667</v>
      </c>
      <c r="BF187" s="957">
        <f t="shared" si="314"/>
        <v>1.5786666666666667</v>
      </c>
      <c r="BG187" s="957">
        <f t="shared" si="314"/>
        <v>1.5786666666666667</v>
      </c>
      <c r="BH187" s="957">
        <f t="shared" si="314"/>
        <v>1.5786666666666667</v>
      </c>
      <c r="BI187" s="957">
        <f t="shared" si="314"/>
        <v>0.39466666666666667</v>
      </c>
      <c r="BJ187" s="957">
        <f t="shared" si="314"/>
        <v>0</v>
      </c>
      <c r="BK187" s="957">
        <f t="shared" si="314"/>
        <v>0</v>
      </c>
      <c r="BL187" s="948">
        <f t="shared" si="315"/>
        <v>100.8768</v>
      </c>
      <c r="BM187" s="948">
        <f t="shared" si="315"/>
        <v>67.251199999999997</v>
      </c>
      <c r="BN187" s="948">
        <f t="shared" si="315"/>
        <v>331.19163733333335</v>
      </c>
      <c r="BO187" s="948">
        <f t="shared" si="315"/>
        <v>331.19163733333335</v>
      </c>
      <c r="BP187" s="948">
        <f t="shared" si="315"/>
        <v>100.8768</v>
      </c>
      <c r="BQ187" s="948">
        <f t="shared" si="315"/>
        <v>67.251199999999997</v>
      </c>
      <c r="BR187" s="948">
        <f t="shared" si="315"/>
        <v>150.65926400000001</v>
      </c>
      <c r="BS187" s="948">
        <f t="shared" si="316"/>
        <v>0</v>
      </c>
      <c r="BT187" s="955">
        <f t="shared" si="317"/>
        <v>286.83701174669727</v>
      </c>
    </row>
    <row r="188" spans="1:72">
      <c r="A188" s="952">
        <v>14</v>
      </c>
      <c r="B188" s="952" t="s">
        <v>1157</v>
      </c>
      <c r="C188" s="950" t="s">
        <v>1151</v>
      </c>
      <c r="D188" s="950">
        <v>1</v>
      </c>
      <c r="E188" s="950">
        <v>1</v>
      </c>
      <c r="F188" s="948">
        <v>50.4</v>
      </c>
      <c r="G188" s="948">
        <v>0.25</v>
      </c>
      <c r="H188" s="948">
        <v>0.6</v>
      </c>
      <c r="I188" s="948">
        <v>0.12</v>
      </c>
      <c r="J188" s="948">
        <f t="shared" si="291"/>
        <v>0.48</v>
      </c>
      <c r="K188" s="948">
        <f t="shared" si="322"/>
        <v>6.048</v>
      </c>
      <c r="L188" s="948">
        <f t="shared" si="318"/>
        <v>48.384</v>
      </c>
      <c r="M188" s="952"/>
      <c r="N188" s="950">
        <v>16</v>
      </c>
      <c r="O188" s="950">
        <v>16</v>
      </c>
      <c r="P188" s="950">
        <v>16</v>
      </c>
      <c r="Q188" s="950">
        <v>16</v>
      </c>
      <c r="R188" s="950">
        <v>16</v>
      </c>
      <c r="S188" s="950">
        <v>16</v>
      </c>
      <c r="T188" s="950">
        <v>8</v>
      </c>
      <c r="U188" s="950"/>
      <c r="V188" s="950"/>
      <c r="W188" s="950">
        <v>200</v>
      </c>
      <c r="X188" s="950">
        <v>100</v>
      </c>
      <c r="Y188" s="950">
        <v>100</v>
      </c>
      <c r="Z188" s="950">
        <v>4</v>
      </c>
      <c r="AA188" s="950">
        <v>4</v>
      </c>
      <c r="AB188" s="950">
        <v>2</v>
      </c>
      <c r="AC188" s="950">
        <v>2</v>
      </c>
      <c r="AD188" s="950">
        <v>4</v>
      </c>
      <c r="AE188" s="950">
        <v>4</v>
      </c>
      <c r="AF188" s="955">
        <f t="shared" si="293"/>
        <v>63.999999999999993</v>
      </c>
      <c r="AG188" s="955">
        <f t="shared" si="294"/>
        <v>252.99999999999997</v>
      </c>
      <c r="AH188" s="955">
        <f t="shared" si="295"/>
        <v>126.99999999999999</v>
      </c>
      <c r="AI188" s="955">
        <v>0</v>
      </c>
      <c r="AJ188" s="955">
        <v>0</v>
      </c>
      <c r="AK188" s="948">
        <f t="shared" si="296"/>
        <v>13.4</v>
      </c>
      <c r="AL188" s="948">
        <f t="shared" si="297"/>
        <v>13.4</v>
      </c>
      <c r="AM188" s="948">
        <f t="shared" si="298"/>
        <v>25.712</v>
      </c>
      <c r="AN188" s="948">
        <f t="shared" si="299"/>
        <v>25.712</v>
      </c>
      <c r="AO188" s="948">
        <f t="shared" si="300"/>
        <v>13.4</v>
      </c>
      <c r="AP188" s="948">
        <f t="shared" si="301"/>
        <v>13.4</v>
      </c>
      <c r="AQ188" s="948">
        <f t="shared" si="302"/>
        <v>1.508</v>
      </c>
      <c r="AR188" s="948">
        <f t="shared" si="323"/>
        <v>0</v>
      </c>
      <c r="AS188" s="948">
        <f t="shared" si="304"/>
        <v>0</v>
      </c>
      <c r="AT188" s="948">
        <f t="shared" si="305"/>
        <v>53.6</v>
      </c>
      <c r="AU188" s="948">
        <f t="shared" si="306"/>
        <v>53.6</v>
      </c>
      <c r="AV188" s="948">
        <f t="shared" si="307"/>
        <v>51.423999999999999</v>
      </c>
      <c r="AW188" s="948">
        <f t="shared" si="308"/>
        <v>51.423999999999999</v>
      </c>
      <c r="AX188" s="948">
        <f t="shared" si="309"/>
        <v>53.6</v>
      </c>
      <c r="AY188" s="948">
        <f t="shared" si="310"/>
        <v>53.6</v>
      </c>
      <c r="AZ188" s="948">
        <f t="shared" si="311"/>
        <v>669.55199999999991</v>
      </c>
      <c r="BA188" s="948">
        <f t="shared" si="312"/>
        <v>0</v>
      </c>
      <c r="BB188" s="948">
        <f t="shared" si="313"/>
        <v>0</v>
      </c>
      <c r="BC188" s="957">
        <f t="shared" si="314"/>
        <v>1.5786666666666667</v>
      </c>
      <c r="BD188" s="957">
        <f t="shared" si="314"/>
        <v>1.5786666666666667</v>
      </c>
      <c r="BE188" s="957">
        <f t="shared" si="314"/>
        <v>1.5786666666666667</v>
      </c>
      <c r="BF188" s="957">
        <f t="shared" si="314"/>
        <v>1.5786666666666667</v>
      </c>
      <c r="BG188" s="957">
        <f t="shared" si="314"/>
        <v>1.5786666666666667</v>
      </c>
      <c r="BH188" s="957">
        <f t="shared" si="314"/>
        <v>1.5786666666666667</v>
      </c>
      <c r="BI188" s="957">
        <f t="shared" si="314"/>
        <v>0.39466666666666667</v>
      </c>
      <c r="BJ188" s="957">
        <f t="shared" si="314"/>
        <v>0</v>
      </c>
      <c r="BK188" s="957">
        <f t="shared" si="314"/>
        <v>0</v>
      </c>
      <c r="BL188" s="948">
        <f t="shared" si="315"/>
        <v>84.616533333333336</v>
      </c>
      <c r="BM188" s="948">
        <f t="shared" si="315"/>
        <v>84.616533333333336</v>
      </c>
      <c r="BN188" s="948">
        <f t="shared" si="315"/>
        <v>81.181354666666664</v>
      </c>
      <c r="BO188" s="948">
        <f t="shared" si="315"/>
        <v>81.181354666666664</v>
      </c>
      <c r="BP188" s="948">
        <f t="shared" si="315"/>
        <v>84.616533333333336</v>
      </c>
      <c r="BQ188" s="948">
        <f t="shared" si="315"/>
        <v>84.616533333333336</v>
      </c>
      <c r="BR188" s="948">
        <f t="shared" si="315"/>
        <v>264.24985599999997</v>
      </c>
      <c r="BS188" s="948">
        <f t="shared" si="316"/>
        <v>0</v>
      </c>
      <c r="BT188" s="955">
        <f t="shared" si="317"/>
        <v>126.50110758377426</v>
      </c>
    </row>
    <row r="189" spans="1:72">
      <c r="A189" s="952">
        <v>15</v>
      </c>
      <c r="B189" s="952" t="s">
        <v>1158</v>
      </c>
      <c r="C189" s="950" t="s">
        <v>1159</v>
      </c>
      <c r="D189" s="950">
        <v>1</v>
      </c>
      <c r="E189" s="950">
        <v>1</v>
      </c>
      <c r="F189" s="948">
        <v>8.4</v>
      </c>
      <c r="G189" s="948">
        <v>0.3</v>
      </c>
      <c r="H189" s="948">
        <v>0.7</v>
      </c>
      <c r="I189" s="948">
        <v>0.12</v>
      </c>
      <c r="J189" s="948">
        <f t="shared" si="291"/>
        <v>0.57999999999999996</v>
      </c>
      <c r="K189" s="948">
        <f t="shared" si="322"/>
        <v>1.4616</v>
      </c>
      <c r="L189" s="948">
        <f t="shared" si="318"/>
        <v>9.7439999999999998</v>
      </c>
      <c r="M189" s="952"/>
      <c r="N189" s="950">
        <v>16</v>
      </c>
      <c r="O189" s="950">
        <v>16</v>
      </c>
      <c r="P189" s="950">
        <v>16</v>
      </c>
      <c r="Q189" s="950">
        <v>16</v>
      </c>
      <c r="R189" s="950">
        <v>16</v>
      </c>
      <c r="S189" s="950">
        <v>16</v>
      </c>
      <c r="T189" s="950">
        <v>8</v>
      </c>
      <c r="U189" s="950"/>
      <c r="V189" s="950"/>
      <c r="W189" s="950">
        <v>200</v>
      </c>
      <c r="X189" s="950">
        <v>100</v>
      </c>
      <c r="Y189" s="950">
        <v>100</v>
      </c>
      <c r="Z189" s="950">
        <v>4</v>
      </c>
      <c r="AA189" s="950">
        <v>4</v>
      </c>
      <c r="AB189" s="950">
        <v>2</v>
      </c>
      <c r="AC189" s="950">
        <v>2</v>
      </c>
      <c r="AD189" s="950">
        <v>4</v>
      </c>
      <c r="AE189" s="950">
        <v>4</v>
      </c>
      <c r="AF189" s="955">
        <f t="shared" si="293"/>
        <v>11.5</v>
      </c>
      <c r="AG189" s="955">
        <f t="shared" si="294"/>
        <v>43</v>
      </c>
      <c r="AH189" s="955">
        <f t="shared" si="295"/>
        <v>22</v>
      </c>
      <c r="AI189" s="955">
        <v>0</v>
      </c>
      <c r="AJ189" s="955">
        <v>0</v>
      </c>
      <c r="AK189" s="948">
        <f t="shared" si="296"/>
        <v>2.9000000000000004</v>
      </c>
      <c r="AL189" s="948">
        <f t="shared" si="297"/>
        <v>2.9000000000000004</v>
      </c>
      <c r="AM189" s="948">
        <f t="shared" si="298"/>
        <v>4.7120000000000006</v>
      </c>
      <c r="AN189" s="948">
        <f t="shared" si="299"/>
        <v>4.7120000000000006</v>
      </c>
      <c r="AO189" s="948">
        <f t="shared" si="300"/>
        <v>2.9000000000000004</v>
      </c>
      <c r="AP189" s="948">
        <f t="shared" si="301"/>
        <v>2.9000000000000004</v>
      </c>
      <c r="AQ189" s="948">
        <f t="shared" si="302"/>
        <v>1.8080000000000001</v>
      </c>
      <c r="AR189" s="948">
        <f t="shared" si="323"/>
        <v>0</v>
      </c>
      <c r="AS189" s="948">
        <f t="shared" si="304"/>
        <v>0</v>
      </c>
      <c r="AT189" s="948">
        <f t="shared" si="305"/>
        <v>11.600000000000001</v>
      </c>
      <c r="AU189" s="948">
        <f t="shared" si="306"/>
        <v>11.600000000000001</v>
      </c>
      <c r="AV189" s="948">
        <f t="shared" si="307"/>
        <v>9.4240000000000013</v>
      </c>
      <c r="AW189" s="948">
        <f t="shared" si="308"/>
        <v>9.4240000000000013</v>
      </c>
      <c r="AX189" s="948">
        <f t="shared" si="309"/>
        <v>11.600000000000001</v>
      </c>
      <c r="AY189" s="948">
        <f t="shared" si="310"/>
        <v>11.600000000000001</v>
      </c>
      <c r="AZ189" s="948">
        <f t="shared" si="311"/>
        <v>138.31200000000001</v>
      </c>
      <c r="BA189" s="948">
        <f t="shared" si="312"/>
        <v>0</v>
      </c>
      <c r="BB189" s="948">
        <f t="shared" si="313"/>
        <v>0</v>
      </c>
      <c r="BC189" s="957">
        <f t="shared" si="314"/>
        <v>1.5786666666666667</v>
      </c>
      <c r="BD189" s="957">
        <f t="shared" si="314"/>
        <v>1.5786666666666667</v>
      </c>
      <c r="BE189" s="957">
        <f t="shared" si="314"/>
        <v>1.5786666666666667</v>
      </c>
      <c r="BF189" s="957">
        <f t="shared" si="314"/>
        <v>1.5786666666666667</v>
      </c>
      <c r="BG189" s="957">
        <f t="shared" si="314"/>
        <v>1.5786666666666667</v>
      </c>
      <c r="BH189" s="957">
        <f t="shared" si="314"/>
        <v>1.5786666666666667</v>
      </c>
      <c r="BI189" s="957">
        <f t="shared" si="314"/>
        <v>0.39466666666666667</v>
      </c>
      <c r="BJ189" s="957">
        <f t="shared" si="314"/>
        <v>0</v>
      </c>
      <c r="BK189" s="957">
        <f t="shared" si="314"/>
        <v>0</v>
      </c>
      <c r="BL189" s="948">
        <f t="shared" si="315"/>
        <v>18.312533333333334</v>
      </c>
      <c r="BM189" s="948">
        <f t="shared" si="315"/>
        <v>18.312533333333334</v>
      </c>
      <c r="BN189" s="948">
        <f t="shared" si="315"/>
        <v>14.877354666666669</v>
      </c>
      <c r="BO189" s="948">
        <f t="shared" si="315"/>
        <v>14.877354666666669</v>
      </c>
      <c r="BP189" s="948">
        <f t="shared" si="315"/>
        <v>18.312533333333334</v>
      </c>
      <c r="BQ189" s="948">
        <f t="shared" si="315"/>
        <v>18.312533333333334</v>
      </c>
      <c r="BR189" s="948">
        <f t="shared" si="315"/>
        <v>54.587136000000001</v>
      </c>
      <c r="BS189" s="948">
        <f t="shared" si="316"/>
        <v>0</v>
      </c>
      <c r="BT189" s="955">
        <f t="shared" si="317"/>
        <v>107.82155081189565</v>
      </c>
    </row>
    <row r="190" spans="1:72">
      <c r="A190" s="952"/>
      <c r="B190" s="952"/>
      <c r="C190" s="950"/>
      <c r="D190" s="950"/>
      <c r="E190" s="950"/>
      <c r="F190" s="948"/>
      <c r="G190" s="948"/>
      <c r="H190" s="948"/>
      <c r="I190" s="948"/>
      <c r="J190" s="948"/>
      <c r="K190" s="948">
        <f>SUM(K162:K189)</f>
        <v>199.34879999999998</v>
      </c>
      <c r="L190" s="948">
        <f>SUM(L162:L189)</f>
        <v>1464.2239999999999</v>
      </c>
      <c r="M190" s="952"/>
      <c r="N190" s="950"/>
      <c r="O190" s="950"/>
      <c r="P190" s="950"/>
      <c r="Q190" s="950"/>
      <c r="R190" s="950"/>
      <c r="S190" s="950"/>
      <c r="T190" s="950"/>
      <c r="U190" s="950"/>
      <c r="V190" s="950"/>
      <c r="W190" s="950"/>
      <c r="X190" s="950"/>
      <c r="Y190" s="950"/>
      <c r="Z190" s="950"/>
      <c r="AA190" s="950"/>
      <c r="AB190" s="950"/>
      <c r="AC190" s="950"/>
      <c r="AD190" s="950"/>
      <c r="AE190" s="950"/>
      <c r="AF190" s="955"/>
      <c r="AG190" s="955"/>
      <c r="AH190" s="955"/>
      <c r="AI190" s="955"/>
      <c r="AJ190" s="955"/>
      <c r="AK190" s="948"/>
      <c r="AL190" s="948"/>
      <c r="AM190" s="948"/>
      <c r="AN190" s="948"/>
      <c r="AO190" s="948"/>
      <c r="AP190" s="948"/>
      <c r="AQ190" s="948"/>
      <c r="AR190" s="948"/>
      <c r="AS190" s="948"/>
      <c r="AT190" s="948"/>
      <c r="AU190" s="948"/>
      <c r="AV190" s="948"/>
      <c r="AW190" s="948"/>
      <c r="AX190" s="948"/>
      <c r="AY190" s="948"/>
      <c r="AZ190" s="948"/>
      <c r="BA190" s="948"/>
      <c r="BB190" s="948"/>
      <c r="BC190" s="957"/>
      <c r="BD190" s="957"/>
      <c r="BE190" s="957"/>
      <c r="BF190" s="957"/>
      <c r="BG190" s="957"/>
      <c r="BH190" s="957"/>
      <c r="BI190" s="957"/>
      <c r="BJ190" s="957"/>
      <c r="BK190" s="957"/>
      <c r="BL190" s="948"/>
      <c r="BM190" s="948"/>
      <c r="BN190" s="948"/>
      <c r="BO190" s="948"/>
      <c r="BP190" s="948"/>
      <c r="BQ190" s="948"/>
      <c r="BR190" s="948"/>
      <c r="BS190" s="948"/>
      <c r="BT190" s="955"/>
    </row>
    <row r="191" spans="1:72">
      <c r="A191" s="952"/>
      <c r="B191" s="952"/>
      <c r="C191" s="950"/>
      <c r="D191" s="950"/>
      <c r="E191" s="950"/>
      <c r="F191" s="948"/>
      <c r="G191" s="948"/>
      <c r="H191" s="948"/>
      <c r="I191" s="948"/>
      <c r="J191" s="948"/>
      <c r="K191" s="948"/>
      <c r="L191" s="948"/>
      <c r="M191" s="952"/>
      <c r="N191" s="950"/>
      <c r="O191" s="950"/>
      <c r="P191" s="950"/>
      <c r="Q191" s="950"/>
      <c r="R191" s="950"/>
      <c r="S191" s="950"/>
      <c r="T191" s="950"/>
      <c r="U191" s="950"/>
      <c r="V191" s="950"/>
      <c r="W191" s="950"/>
      <c r="X191" s="950"/>
      <c r="Y191" s="950"/>
      <c r="Z191" s="950"/>
      <c r="AA191" s="950"/>
      <c r="AB191" s="950"/>
      <c r="AC191" s="950"/>
      <c r="AD191" s="950"/>
      <c r="AE191" s="950"/>
      <c r="AF191" s="955"/>
      <c r="AG191" s="955"/>
      <c r="AH191" s="955"/>
      <c r="AI191" s="955"/>
      <c r="AJ191" s="955"/>
      <c r="AK191" s="948"/>
      <c r="AL191" s="948"/>
      <c r="AM191" s="948"/>
      <c r="AN191" s="948"/>
      <c r="AO191" s="948"/>
      <c r="AP191" s="948"/>
      <c r="AQ191" s="948"/>
      <c r="AR191" s="948"/>
      <c r="AS191" s="948"/>
      <c r="AT191" s="948"/>
      <c r="AU191" s="948"/>
      <c r="AV191" s="948"/>
      <c r="AW191" s="948"/>
      <c r="AX191" s="948"/>
      <c r="AY191" s="948"/>
      <c r="AZ191" s="948"/>
      <c r="BA191" s="948"/>
      <c r="BB191" s="948"/>
      <c r="BC191" s="957"/>
      <c r="BD191" s="957"/>
      <c r="BE191" s="957"/>
      <c r="BF191" s="957"/>
      <c r="BG191" s="957"/>
      <c r="BH191" s="957"/>
      <c r="BI191" s="957"/>
      <c r="BJ191" s="957"/>
      <c r="BK191" s="957"/>
      <c r="BL191" s="948"/>
      <c r="BM191" s="948"/>
      <c r="BN191" s="948"/>
      <c r="BO191" s="948"/>
      <c r="BP191" s="948"/>
      <c r="BQ191" s="948"/>
      <c r="BR191" s="948"/>
      <c r="BS191" s="948"/>
      <c r="BT191" s="955"/>
    </row>
    <row r="192" spans="1:72">
      <c r="A192" s="949" t="s">
        <v>66</v>
      </c>
      <c r="B192" s="949" t="s">
        <v>1050</v>
      </c>
      <c r="C192" s="949" t="s">
        <v>983</v>
      </c>
      <c r="D192" s="950" t="s">
        <v>1051</v>
      </c>
      <c r="E192" s="950" t="s">
        <v>1052</v>
      </c>
      <c r="F192" s="951" t="s">
        <v>984</v>
      </c>
      <c r="G192" s="951"/>
      <c r="H192" s="951"/>
      <c r="I192" s="948" t="s">
        <v>985</v>
      </c>
      <c r="J192" s="948" t="s">
        <v>1053</v>
      </c>
      <c r="K192" s="948" t="s">
        <v>392</v>
      </c>
      <c r="L192" s="948" t="s">
        <v>377</v>
      </c>
      <c r="M192" s="952"/>
      <c r="N192" s="949" t="s">
        <v>1054</v>
      </c>
      <c r="O192" s="949"/>
      <c r="P192" s="949"/>
      <c r="Q192" s="949"/>
      <c r="R192" s="949"/>
      <c r="S192" s="949"/>
      <c r="T192" s="949" t="s">
        <v>1055</v>
      </c>
      <c r="U192" s="949"/>
      <c r="V192" s="949"/>
      <c r="W192" s="949" t="s">
        <v>989</v>
      </c>
      <c r="X192" s="949"/>
      <c r="Y192" s="949"/>
      <c r="Z192" s="949" t="s">
        <v>1056</v>
      </c>
      <c r="AA192" s="949"/>
      <c r="AB192" s="949"/>
      <c r="AC192" s="949"/>
      <c r="AD192" s="949"/>
      <c r="AE192" s="949"/>
      <c r="AF192" s="953" t="s">
        <v>1057</v>
      </c>
      <c r="AG192" s="953"/>
      <c r="AH192" s="953"/>
      <c r="AI192" s="953"/>
      <c r="AJ192" s="953"/>
      <c r="AK192" s="951" t="s">
        <v>1058</v>
      </c>
      <c r="AL192" s="951"/>
      <c r="AM192" s="951"/>
      <c r="AN192" s="951"/>
      <c r="AO192" s="951"/>
      <c r="AP192" s="951"/>
      <c r="AQ192" s="951" t="s">
        <v>1059</v>
      </c>
      <c r="AR192" s="951"/>
      <c r="AS192" s="951"/>
      <c r="AT192" s="951" t="s">
        <v>1060</v>
      </c>
      <c r="AU192" s="951"/>
      <c r="AV192" s="951"/>
      <c r="AW192" s="951"/>
      <c r="AX192" s="951"/>
      <c r="AY192" s="951"/>
      <c r="AZ192" s="951" t="s">
        <v>1061</v>
      </c>
      <c r="BA192" s="951"/>
      <c r="BB192" s="951"/>
      <c r="BC192" s="954" t="s">
        <v>1062</v>
      </c>
      <c r="BD192" s="954"/>
      <c r="BE192" s="954"/>
      <c r="BF192" s="954"/>
      <c r="BG192" s="954"/>
      <c r="BH192" s="954"/>
      <c r="BI192" s="954" t="s">
        <v>996</v>
      </c>
      <c r="BJ192" s="954"/>
      <c r="BK192" s="954"/>
      <c r="BL192" s="951" t="s">
        <v>997</v>
      </c>
      <c r="BM192" s="951"/>
      <c r="BN192" s="951"/>
      <c r="BO192" s="951"/>
      <c r="BP192" s="951"/>
      <c r="BQ192" s="951"/>
      <c r="BR192" s="951"/>
      <c r="BS192" s="951"/>
      <c r="BT192" s="955" t="s">
        <v>998</v>
      </c>
    </row>
    <row r="193" spans="1:72">
      <c r="A193" s="949"/>
      <c r="B193" s="949"/>
      <c r="C193" s="949"/>
      <c r="D193" s="949" t="s">
        <v>1063</v>
      </c>
      <c r="E193" s="949" t="s">
        <v>391</v>
      </c>
      <c r="F193" s="948" t="s">
        <v>999</v>
      </c>
      <c r="G193" s="948" t="s">
        <v>1000</v>
      </c>
      <c r="H193" s="948" t="s">
        <v>1001</v>
      </c>
      <c r="I193" s="948" t="s">
        <v>1002</v>
      </c>
      <c r="J193" s="948" t="s">
        <v>1003</v>
      </c>
      <c r="K193" s="951" t="s">
        <v>1064</v>
      </c>
      <c r="L193" s="948"/>
      <c r="M193" s="952"/>
      <c r="N193" s="949" t="s">
        <v>1001</v>
      </c>
      <c r="O193" s="949"/>
      <c r="P193" s="949" t="s">
        <v>1000</v>
      </c>
      <c r="Q193" s="949"/>
      <c r="R193" s="949" t="s">
        <v>1001</v>
      </c>
      <c r="S193" s="949"/>
      <c r="T193" s="950" t="s">
        <v>1007</v>
      </c>
      <c r="U193" s="949" t="s">
        <v>1005</v>
      </c>
      <c r="V193" s="949"/>
      <c r="W193" s="949"/>
      <c r="X193" s="949" t="s">
        <v>1000</v>
      </c>
      <c r="Y193" s="949" t="s">
        <v>1001</v>
      </c>
      <c r="Z193" s="949" t="s">
        <v>1001</v>
      </c>
      <c r="AA193" s="949"/>
      <c r="AB193" s="949" t="s">
        <v>1000</v>
      </c>
      <c r="AC193" s="949"/>
      <c r="AD193" s="949" t="s">
        <v>1001</v>
      </c>
      <c r="AE193" s="949"/>
      <c r="AF193" s="953" t="s">
        <v>1004</v>
      </c>
      <c r="AG193" s="953"/>
      <c r="AH193" s="953"/>
      <c r="AI193" s="953" t="s">
        <v>1065</v>
      </c>
      <c r="AJ193" s="953"/>
      <c r="AK193" s="951" t="s">
        <v>1001</v>
      </c>
      <c r="AL193" s="951"/>
      <c r="AM193" s="951" t="s">
        <v>1000</v>
      </c>
      <c r="AN193" s="951"/>
      <c r="AO193" s="951" t="s">
        <v>1001</v>
      </c>
      <c r="AP193" s="951"/>
      <c r="AQ193" s="951" t="s">
        <v>1004</v>
      </c>
      <c r="AR193" s="951" t="s">
        <v>1005</v>
      </c>
      <c r="AS193" s="951"/>
      <c r="AT193" s="951" t="s">
        <v>1066</v>
      </c>
      <c r="AU193" s="951"/>
      <c r="AV193" s="951" t="s">
        <v>1000</v>
      </c>
      <c r="AW193" s="951"/>
      <c r="AX193" s="951" t="s">
        <v>1001</v>
      </c>
      <c r="AY193" s="951"/>
      <c r="AZ193" s="951" t="s">
        <v>1004</v>
      </c>
      <c r="BA193" s="951" t="s">
        <v>1005</v>
      </c>
      <c r="BB193" s="951"/>
      <c r="BC193" s="953" t="s">
        <v>1001</v>
      </c>
      <c r="BD193" s="953"/>
      <c r="BE193" s="953" t="s">
        <v>1000</v>
      </c>
      <c r="BF193" s="953"/>
      <c r="BG193" s="951" t="s">
        <v>1001</v>
      </c>
      <c r="BH193" s="951"/>
      <c r="BI193" s="956" t="s">
        <v>1004</v>
      </c>
      <c r="BJ193" s="954" t="s">
        <v>1005</v>
      </c>
      <c r="BK193" s="954"/>
      <c r="BL193" s="951" t="s">
        <v>1006</v>
      </c>
      <c r="BM193" s="951"/>
      <c r="BN193" s="951"/>
      <c r="BO193" s="951"/>
      <c r="BP193" s="951"/>
      <c r="BQ193" s="951"/>
      <c r="BR193" s="951" t="s">
        <v>1067</v>
      </c>
      <c r="BS193" s="951"/>
      <c r="BT193" s="953" t="s">
        <v>1068</v>
      </c>
    </row>
    <row r="194" spans="1:72">
      <c r="A194" s="949"/>
      <c r="B194" s="949"/>
      <c r="C194" s="949" t="s">
        <v>391</v>
      </c>
      <c r="D194" s="949"/>
      <c r="E194" s="949"/>
      <c r="F194" s="948" t="s">
        <v>1069</v>
      </c>
      <c r="G194" s="948" t="s">
        <v>1069</v>
      </c>
      <c r="H194" s="948" t="s">
        <v>1069</v>
      </c>
      <c r="I194" s="948" t="s">
        <v>1069</v>
      </c>
      <c r="J194" s="948" t="s">
        <v>1069</v>
      </c>
      <c r="K194" s="951"/>
      <c r="L194" s="948" t="s">
        <v>1070</v>
      </c>
      <c r="M194" s="952"/>
      <c r="N194" s="949"/>
      <c r="O194" s="949"/>
      <c r="P194" s="949"/>
      <c r="Q194" s="949"/>
      <c r="R194" s="949"/>
      <c r="S194" s="949"/>
      <c r="T194" s="950" t="s">
        <v>1071</v>
      </c>
      <c r="U194" s="950" t="s">
        <v>1012</v>
      </c>
      <c r="V194" s="950" t="s">
        <v>494</v>
      </c>
      <c r="W194" s="949"/>
      <c r="X194" s="949"/>
      <c r="Y194" s="949"/>
      <c r="Z194" s="949"/>
      <c r="AA194" s="949"/>
      <c r="AB194" s="949"/>
      <c r="AC194" s="949"/>
      <c r="AD194" s="949"/>
      <c r="AE194" s="949"/>
      <c r="AF194" s="955" t="s">
        <v>1001</v>
      </c>
      <c r="AG194" s="955" t="s">
        <v>1000</v>
      </c>
      <c r="AH194" s="955" t="s">
        <v>1001</v>
      </c>
      <c r="AI194" s="955" t="s">
        <v>1012</v>
      </c>
      <c r="AJ194" s="955" t="s">
        <v>494</v>
      </c>
      <c r="AK194" s="951"/>
      <c r="AL194" s="951"/>
      <c r="AM194" s="951"/>
      <c r="AN194" s="951"/>
      <c r="AO194" s="951"/>
      <c r="AP194" s="951"/>
      <c r="AQ194" s="951"/>
      <c r="AR194" s="948" t="s">
        <v>1012</v>
      </c>
      <c r="AS194" s="948" t="s">
        <v>494</v>
      </c>
      <c r="AT194" s="951"/>
      <c r="AU194" s="951"/>
      <c r="AV194" s="951"/>
      <c r="AW194" s="951"/>
      <c r="AX194" s="951"/>
      <c r="AY194" s="951"/>
      <c r="AZ194" s="951"/>
      <c r="BA194" s="948" t="s">
        <v>1012</v>
      </c>
      <c r="BB194" s="948" t="s">
        <v>494</v>
      </c>
      <c r="BC194" s="953"/>
      <c r="BD194" s="953"/>
      <c r="BE194" s="953"/>
      <c r="BF194" s="953"/>
      <c r="BG194" s="951"/>
      <c r="BH194" s="951"/>
      <c r="BI194" s="957"/>
      <c r="BJ194" s="957" t="s">
        <v>1012</v>
      </c>
      <c r="BK194" s="957" t="s">
        <v>494</v>
      </c>
      <c r="BL194" s="951" t="s">
        <v>1001</v>
      </c>
      <c r="BM194" s="951"/>
      <c r="BN194" s="951" t="s">
        <v>1000</v>
      </c>
      <c r="BO194" s="951"/>
      <c r="BP194" s="951" t="s">
        <v>1001</v>
      </c>
      <c r="BQ194" s="951"/>
      <c r="BR194" s="951" t="s">
        <v>1004</v>
      </c>
      <c r="BS194" s="948"/>
      <c r="BT194" s="953"/>
    </row>
    <row r="195" spans="1:72">
      <c r="A195" s="949"/>
      <c r="B195" s="949"/>
      <c r="C195" s="949"/>
      <c r="D195" s="950" t="s">
        <v>1072</v>
      </c>
      <c r="E195" s="950" t="s">
        <v>1073</v>
      </c>
      <c r="F195" s="948" t="s">
        <v>1074</v>
      </c>
      <c r="G195" s="948" t="s">
        <v>1075</v>
      </c>
      <c r="H195" s="948" t="s">
        <v>1076</v>
      </c>
      <c r="I195" s="948" t="s">
        <v>1077</v>
      </c>
      <c r="J195" s="948" t="s">
        <v>1078</v>
      </c>
      <c r="K195" s="948" t="s">
        <v>1079</v>
      </c>
      <c r="L195" s="948" t="s">
        <v>1080</v>
      </c>
      <c r="M195" s="952"/>
      <c r="N195" s="949" t="s">
        <v>1081</v>
      </c>
      <c r="O195" s="949"/>
      <c r="P195" s="949"/>
      <c r="Q195" s="949"/>
      <c r="R195" s="949"/>
      <c r="S195" s="949"/>
      <c r="T195" s="950" t="s">
        <v>1082</v>
      </c>
      <c r="U195" s="949" t="s">
        <v>1081</v>
      </c>
      <c r="V195" s="949"/>
      <c r="W195" s="949" t="s">
        <v>1081</v>
      </c>
      <c r="X195" s="949"/>
      <c r="Y195" s="949"/>
      <c r="Z195" s="949" t="s">
        <v>1082</v>
      </c>
      <c r="AA195" s="949"/>
      <c r="AB195" s="949"/>
      <c r="AC195" s="949"/>
      <c r="AD195" s="949"/>
      <c r="AE195" s="949"/>
      <c r="AF195" s="953" t="s">
        <v>1082</v>
      </c>
      <c r="AG195" s="953"/>
      <c r="AH195" s="953"/>
      <c r="AI195" s="953"/>
      <c r="AJ195" s="953"/>
      <c r="AK195" s="951" t="s">
        <v>1069</v>
      </c>
      <c r="AL195" s="951"/>
      <c r="AM195" s="951"/>
      <c r="AN195" s="951"/>
      <c r="AO195" s="951"/>
      <c r="AP195" s="951"/>
      <c r="AQ195" s="951"/>
      <c r="AR195" s="951"/>
      <c r="AS195" s="951"/>
      <c r="AT195" s="951"/>
      <c r="AU195" s="951"/>
      <c r="AV195" s="951"/>
      <c r="AW195" s="951"/>
      <c r="AX195" s="951"/>
      <c r="AY195" s="951"/>
      <c r="AZ195" s="951"/>
      <c r="BA195" s="951"/>
      <c r="BB195" s="951"/>
      <c r="BC195" s="954"/>
      <c r="BD195" s="954"/>
      <c r="BE195" s="954"/>
      <c r="BF195" s="954"/>
      <c r="BG195" s="954"/>
      <c r="BH195" s="954"/>
      <c r="BI195" s="954"/>
      <c r="BJ195" s="954"/>
      <c r="BK195" s="954"/>
      <c r="BL195" s="951"/>
      <c r="BM195" s="951"/>
      <c r="BN195" s="951"/>
      <c r="BO195" s="951"/>
      <c r="BP195" s="951"/>
      <c r="BQ195" s="951"/>
      <c r="BR195" s="951"/>
      <c r="BS195" s="948" t="s">
        <v>494</v>
      </c>
      <c r="BT195" s="953"/>
    </row>
    <row r="196" spans="1:72">
      <c r="A196" s="952"/>
      <c r="B196" s="952"/>
      <c r="C196" s="950"/>
      <c r="D196" s="950"/>
      <c r="E196" s="950"/>
      <c r="F196" s="948"/>
      <c r="G196" s="948"/>
      <c r="H196" s="948"/>
      <c r="I196" s="948"/>
      <c r="J196" s="948"/>
      <c r="K196" s="948"/>
      <c r="L196" s="948"/>
      <c r="M196" s="952"/>
      <c r="N196" s="950"/>
      <c r="O196" s="950"/>
      <c r="P196" s="950"/>
      <c r="Q196" s="950"/>
      <c r="R196" s="950"/>
      <c r="S196" s="950"/>
      <c r="T196" s="950"/>
      <c r="U196" s="950"/>
      <c r="V196" s="950"/>
      <c r="W196" s="950"/>
      <c r="X196" s="950"/>
      <c r="Y196" s="950"/>
      <c r="Z196" s="950"/>
      <c r="AA196" s="950"/>
      <c r="AB196" s="950"/>
      <c r="AC196" s="950"/>
      <c r="AD196" s="950"/>
      <c r="AE196" s="950"/>
      <c r="AF196" s="955"/>
      <c r="AG196" s="955"/>
      <c r="AH196" s="955"/>
      <c r="AI196" s="955"/>
      <c r="AJ196" s="955"/>
      <c r="AK196" s="948"/>
      <c r="AL196" s="948"/>
      <c r="AM196" s="948"/>
      <c r="AN196" s="948"/>
      <c r="AO196" s="948"/>
      <c r="AP196" s="948"/>
      <c r="AQ196" s="948"/>
      <c r="AR196" s="948"/>
      <c r="AS196" s="948"/>
      <c r="AT196" s="948"/>
      <c r="AU196" s="948"/>
      <c r="AV196" s="948"/>
      <c r="AW196" s="948"/>
      <c r="AX196" s="948"/>
      <c r="AY196" s="948"/>
      <c r="AZ196" s="948"/>
      <c r="BA196" s="948"/>
      <c r="BB196" s="948"/>
      <c r="BC196" s="957"/>
      <c r="BD196" s="957"/>
      <c r="BE196" s="957"/>
      <c r="BF196" s="957"/>
      <c r="BG196" s="957"/>
      <c r="BH196" s="957"/>
      <c r="BI196" s="957"/>
      <c r="BJ196" s="957"/>
      <c r="BK196" s="957"/>
      <c r="BL196" s="948"/>
      <c r="BM196" s="948"/>
      <c r="BN196" s="948"/>
      <c r="BO196" s="948"/>
      <c r="BP196" s="948"/>
      <c r="BQ196" s="948"/>
      <c r="BR196" s="948"/>
      <c r="BS196" s="948"/>
      <c r="BT196" s="955"/>
    </row>
    <row r="197" spans="1:72">
      <c r="A197" s="958" t="s">
        <v>1160</v>
      </c>
      <c r="B197" s="952"/>
      <c r="C197" s="950"/>
      <c r="D197" s="950"/>
      <c r="E197" s="950"/>
      <c r="F197" s="948"/>
      <c r="G197" s="948"/>
      <c r="H197" s="948"/>
      <c r="I197" s="948"/>
      <c r="J197" s="948"/>
      <c r="K197" s="948"/>
      <c r="L197" s="948"/>
      <c r="M197" s="952"/>
      <c r="N197" s="958" t="s">
        <v>1160</v>
      </c>
      <c r="O197" s="950"/>
      <c r="P197" s="950"/>
      <c r="Q197" s="950"/>
      <c r="R197" s="950"/>
      <c r="S197" s="950"/>
      <c r="T197" s="950"/>
      <c r="U197" s="950"/>
      <c r="V197" s="950"/>
      <c r="W197" s="950"/>
      <c r="X197" s="950"/>
      <c r="Y197" s="950"/>
      <c r="Z197" s="950"/>
      <c r="AA197" s="950"/>
      <c r="AB197" s="950"/>
      <c r="AC197" s="950"/>
      <c r="AD197" s="950"/>
      <c r="AE197" s="950"/>
      <c r="AF197" s="955"/>
      <c r="AG197" s="955"/>
      <c r="AH197" s="955"/>
      <c r="AI197" s="955"/>
      <c r="AJ197" s="955"/>
      <c r="AK197" s="948"/>
      <c r="AL197" s="948"/>
      <c r="AM197" s="948"/>
      <c r="AN197" s="948"/>
      <c r="AO197" s="948"/>
      <c r="AP197" s="948"/>
      <c r="AQ197" s="948"/>
      <c r="AR197" s="948"/>
      <c r="AS197" s="948"/>
      <c r="AT197" s="948"/>
      <c r="AU197" s="948"/>
      <c r="AV197" s="948"/>
      <c r="AW197" s="948"/>
      <c r="AX197" s="948"/>
      <c r="AY197" s="948"/>
      <c r="AZ197" s="948"/>
      <c r="BA197" s="948"/>
      <c r="BB197" s="948"/>
      <c r="BC197" s="957"/>
      <c r="BD197" s="957"/>
      <c r="BE197" s="957"/>
      <c r="BF197" s="957"/>
      <c r="BG197" s="957"/>
      <c r="BH197" s="957"/>
      <c r="BI197" s="957"/>
      <c r="BJ197" s="957"/>
      <c r="BK197" s="957"/>
      <c r="BL197" s="948"/>
      <c r="BM197" s="948"/>
      <c r="BN197" s="948"/>
      <c r="BO197" s="948"/>
      <c r="BP197" s="948"/>
      <c r="BQ197" s="948"/>
      <c r="BR197" s="948"/>
      <c r="BS197" s="948"/>
      <c r="BT197" s="955"/>
    </row>
    <row r="198" spans="1:72">
      <c r="A198" s="960" t="s">
        <v>2</v>
      </c>
      <c r="B198" s="960" t="s">
        <v>1084</v>
      </c>
      <c r="C198" s="950"/>
      <c r="D198" s="950"/>
      <c r="E198" s="950"/>
      <c r="F198" s="948"/>
      <c r="G198" s="948"/>
      <c r="H198" s="948"/>
      <c r="I198" s="948"/>
      <c r="J198" s="948"/>
      <c r="K198" s="948"/>
      <c r="L198" s="948"/>
      <c r="M198" s="952"/>
      <c r="N198" s="959" t="str">
        <f>A198</f>
        <v>A</v>
      </c>
      <c r="O198" s="959" t="str">
        <f>B198</f>
        <v>Vertikal</v>
      </c>
      <c r="P198" s="950"/>
      <c r="Q198" s="950"/>
      <c r="R198" s="950"/>
      <c r="S198" s="950"/>
      <c r="T198" s="950"/>
      <c r="U198" s="950"/>
      <c r="V198" s="950"/>
      <c r="W198" s="950"/>
      <c r="X198" s="950"/>
      <c r="Y198" s="950"/>
      <c r="Z198" s="950"/>
      <c r="AA198" s="950"/>
      <c r="AB198" s="950"/>
      <c r="AC198" s="950"/>
      <c r="AD198" s="950"/>
      <c r="AE198" s="950"/>
      <c r="AF198" s="955"/>
      <c r="AG198" s="955"/>
      <c r="AH198" s="955"/>
      <c r="AI198" s="955"/>
      <c r="AJ198" s="955"/>
      <c r="AK198" s="948"/>
      <c r="AL198" s="948"/>
      <c r="AM198" s="948"/>
      <c r="AN198" s="948"/>
      <c r="AO198" s="948"/>
      <c r="AP198" s="948"/>
      <c r="AQ198" s="948"/>
      <c r="AR198" s="948"/>
      <c r="AS198" s="948"/>
      <c r="AT198" s="948"/>
      <c r="AU198" s="948"/>
      <c r="AV198" s="948"/>
      <c r="AW198" s="948"/>
      <c r="AX198" s="948"/>
      <c r="AY198" s="948"/>
      <c r="AZ198" s="948"/>
      <c r="BA198" s="948"/>
      <c r="BB198" s="948"/>
      <c r="BC198" s="957"/>
      <c r="BD198" s="957"/>
      <c r="BE198" s="957"/>
      <c r="BF198" s="957"/>
      <c r="BG198" s="957"/>
      <c r="BH198" s="957"/>
      <c r="BI198" s="957"/>
      <c r="BJ198" s="957"/>
      <c r="BK198" s="957"/>
      <c r="BL198" s="948"/>
      <c r="BM198" s="948"/>
      <c r="BN198" s="948"/>
      <c r="BO198" s="948"/>
      <c r="BP198" s="948"/>
      <c r="BQ198" s="948"/>
      <c r="BR198" s="948"/>
      <c r="BS198" s="948"/>
      <c r="BT198" s="955"/>
    </row>
    <row r="199" spans="1:72">
      <c r="A199" s="952">
        <v>1</v>
      </c>
      <c r="B199" s="952" t="s">
        <v>1161</v>
      </c>
      <c r="C199" s="950" t="s">
        <v>1108</v>
      </c>
      <c r="D199" s="950">
        <v>1</v>
      </c>
      <c r="E199" s="950">
        <v>1</v>
      </c>
      <c r="F199" s="948">
        <v>64</v>
      </c>
      <c r="G199" s="948">
        <v>0.25</v>
      </c>
      <c r="H199" s="948">
        <v>0.6</v>
      </c>
      <c r="I199" s="948">
        <v>0.12</v>
      </c>
      <c r="J199" s="948">
        <f t="shared" ref="J199" si="328">H199-I199</f>
        <v>0.48</v>
      </c>
      <c r="K199" s="948">
        <f>F199*G199*J199*D199*E199</f>
        <v>7.68</v>
      </c>
      <c r="L199" s="948">
        <f>(2*J199)*F199*E199*D199</f>
        <v>61.44</v>
      </c>
      <c r="M199" s="952"/>
      <c r="N199" s="950">
        <v>16</v>
      </c>
      <c r="O199" s="950">
        <v>16</v>
      </c>
      <c r="P199" s="950">
        <v>16</v>
      </c>
      <c r="Q199" s="950">
        <v>16</v>
      </c>
      <c r="R199" s="950">
        <v>16</v>
      </c>
      <c r="S199" s="950">
        <v>16</v>
      </c>
      <c r="T199" s="950">
        <v>8</v>
      </c>
      <c r="U199" s="950"/>
      <c r="V199" s="950"/>
      <c r="W199" s="950">
        <v>200</v>
      </c>
      <c r="X199" s="950">
        <v>100</v>
      </c>
      <c r="Y199" s="950">
        <v>100</v>
      </c>
      <c r="Z199" s="950">
        <v>4</v>
      </c>
      <c r="AA199" s="950">
        <v>4</v>
      </c>
      <c r="AB199" s="950">
        <v>2</v>
      </c>
      <c r="AC199" s="950">
        <v>2</v>
      </c>
      <c r="AD199" s="950">
        <v>4</v>
      </c>
      <c r="AE199" s="950">
        <v>4</v>
      </c>
      <c r="AF199" s="955">
        <f t="shared" ref="AF199:AF203" si="329">(F199/4)/(W199/1000)+1</f>
        <v>81</v>
      </c>
      <c r="AG199" s="955">
        <f t="shared" ref="AG199:AG203" si="330">(F199/2)/(X199/1000)+1</f>
        <v>321</v>
      </c>
      <c r="AH199" s="955">
        <f t="shared" ref="AH199:AH203" si="331">(F199/4)/(Y199/1000)+1</f>
        <v>161</v>
      </c>
      <c r="AI199" s="955">
        <v>0</v>
      </c>
      <c r="AJ199" s="955">
        <v>0</v>
      </c>
      <c r="AK199" s="948">
        <f t="shared" ref="AK199:AK203" si="332">(F199/4)+(20*N199/1000)+(10*N199/1000)+(8*N199/1000)+(6*2*N199/1000)</f>
        <v>16.8</v>
      </c>
      <c r="AL199" s="948">
        <f t="shared" ref="AL199:AL203" si="333">(F199/4)+(20*O199/1000)+(10*O199/1000)+(8*O199/1000)+(6*2*O199/1000)</f>
        <v>16.8</v>
      </c>
      <c r="AM199" s="948">
        <f t="shared" ref="AM199:AM203" si="334">(F199/2)+(20*P199/1000)+(6*2*P199/1000)</f>
        <v>32.512</v>
      </c>
      <c r="AN199" s="948">
        <f t="shared" ref="AN199:AN203" si="335">(F199/2)+(20*Q199/1000)+(6*2*Q199/1000)</f>
        <v>32.512</v>
      </c>
      <c r="AO199" s="948">
        <f t="shared" ref="AO199:AO203" si="336">(F199/4)+(20*R199/1000)+(10*R199/1000)+(8*R199/1000)+(6*2*R199/1000)</f>
        <v>16.8</v>
      </c>
      <c r="AP199" s="948">
        <f t="shared" ref="AP199:AP203" si="337">(F199/4)+(20*S199/1000)+(10*S199/1000)+(8*S199/1000)+(6*2*S199/1000)</f>
        <v>16.8</v>
      </c>
      <c r="AQ199" s="948">
        <f t="shared" ref="AQ199:AQ203" si="338">(2*G199)+(2*H199)+(6*T199/1000)-(8*0.03)</f>
        <v>1.508</v>
      </c>
      <c r="AR199" s="948">
        <f t="shared" ref="AR199:AR203" si="339">((H199)+(2*6*U199/1000)-(2*0.03))*AI199</f>
        <v>0</v>
      </c>
      <c r="AS199" s="948">
        <f t="shared" ref="AS199:AS203" si="340">((G199)+(2*6*V199/1000)-(2*0.03))*AJ199</f>
        <v>0</v>
      </c>
      <c r="AT199" s="948">
        <f t="shared" ref="AT199:AT203" si="341">AK199*Z199*E199*D199</f>
        <v>67.2</v>
      </c>
      <c r="AU199" s="948">
        <f t="shared" ref="AU199:AU203" si="342">AL199*AA199*E199*D199</f>
        <v>67.2</v>
      </c>
      <c r="AV199" s="948">
        <f t="shared" ref="AV199:AV203" si="343">AM199*AB199*E199*D199</f>
        <v>65.024000000000001</v>
      </c>
      <c r="AW199" s="948">
        <f t="shared" ref="AW199:AW203" si="344">AN199*AC199*E199*D199</f>
        <v>65.024000000000001</v>
      </c>
      <c r="AX199" s="948">
        <f t="shared" ref="AX199:AX203" si="345">AO199*AD199*E199*D199</f>
        <v>67.2</v>
      </c>
      <c r="AY199" s="948">
        <f t="shared" ref="AY199:AY203" si="346">AP199*AE199*E199*D199</f>
        <v>67.2</v>
      </c>
      <c r="AZ199" s="948">
        <f t="shared" ref="AZ199:AZ203" si="347">AQ199*(AF199+AG199+AH199)*E199*D199</f>
        <v>849.00400000000002</v>
      </c>
      <c r="BA199" s="948">
        <f t="shared" ref="BA199:BA203" si="348">AR199*(AF199+AG199+AH199)*E199*D199</f>
        <v>0</v>
      </c>
      <c r="BB199" s="948">
        <f t="shared" ref="BB199:BB203" si="349">AS199*(AF199+AG199+AH199)*E199*D199</f>
        <v>0</v>
      </c>
      <c r="BC199" s="957">
        <f t="shared" ref="BC199:BK203" si="350">N199*N199*0.074/12</f>
        <v>1.5786666666666667</v>
      </c>
      <c r="BD199" s="957">
        <f t="shared" si="350"/>
        <v>1.5786666666666667</v>
      </c>
      <c r="BE199" s="957">
        <f t="shared" si="350"/>
        <v>1.5786666666666667</v>
      </c>
      <c r="BF199" s="957">
        <f t="shared" si="350"/>
        <v>1.5786666666666667</v>
      </c>
      <c r="BG199" s="957">
        <f t="shared" si="350"/>
        <v>1.5786666666666667</v>
      </c>
      <c r="BH199" s="957">
        <f t="shared" si="350"/>
        <v>1.5786666666666667</v>
      </c>
      <c r="BI199" s="957">
        <f t="shared" si="350"/>
        <v>0.39466666666666667</v>
      </c>
      <c r="BJ199" s="957">
        <f t="shared" si="350"/>
        <v>0</v>
      </c>
      <c r="BK199" s="957">
        <f t="shared" si="350"/>
        <v>0</v>
      </c>
      <c r="BL199" s="948">
        <f t="shared" ref="BL199:BR203" si="351">AT199*BC199</f>
        <v>106.0864</v>
      </c>
      <c r="BM199" s="948">
        <f t="shared" si="351"/>
        <v>106.0864</v>
      </c>
      <c r="BN199" s="948">
        <f t="shared" si="351"/>
        <v>102.65122133333334</v>
      </c>
      <c r="BO199" s="948">
        <f t="shared" si="351"/>
        <v>102.65122133333334</v>
      </c>
      <c r="BP199" s="948">
        <f t="shared" si="351"/>
        <v>106.0864</v>
      </c>
      <c r="BQ199" s="948">
        <f t="shared" si="351"/>
        <v>106.0864</v>
      </c>
      <c r="BR199" s="948">
        <f t="shared" si="351"/>
        <v>335.07357866666666</v>
      </c>
      <c r="BS199" s="948">
        <f>BB199*BK199</f>
        <v>0</v>
      </c>
      <c r="BT199" s="955">
        <f>SUM(BL199:BS199)/K199</f>
        <v>125.61479444444446</v>
      </c>
    </row>
    <row r="200" spans="1:72">
      <c r="A200" s="952">
        <v>2</v>
      </c>
      <c r="B200" s="952" t="s">
        <v>1162</v>
      </c>
      <c r="C200" s="950" t="s">
        <v>1163</v>
      </c>
      <c r="D200" s="950">
        <v>1</v>
      </c>
      <c r="E200" s="950">
        <v>1</v>
      </c>
      <c r="F200" s="948">
        <v>64</v>
      </c>
      <c r="G200" s="948">
        <v>0.25</v>
      </c>
      <c r="H200" s="948">
        <v>0.6</v>
      </c>
      <c r="I200" s="948">
        <v>0.12</v>
      </c>
      <c r="J200" s="948">
        <f>H200-I200</f>
        <v>0.48</v>
      </c>
      <c r="K200" s="948">
        <f>F200*G200*J200*D200*E200</f>
        <v>7.68</v>
      </c>
      <c r="L200" s="948">
        <f>(2*J200)*F200*E200*D200</f>
        <v>61.44</v>
      </c>
      <c r="M200" s="952"/>
      <c r="N200" s="950">
        <v>16</v>
      </c>
      <c r="O200" s="950">
        <v>16</v>
      </c>
      <c r="P200" s="950">
        <v>16</v>
      </c>
      <c r="Q200" s="950">
        <v>16</v>
      </c>
      <c r="R200" s="950">
        <v>16</v>
      </c>
      <c r="S200" s="950">
        <v>16</v>
      </c>
      <c r="T200" s="950">
        <v>8</v>
      </c>
      <c r="U200" s="950"/>
      <c r="V200" s="950"/>
      <c r="W200" s="950">
        <v>200</v>
      </c>
      <c r="X200" s="950">
        <v>100</v>
      </c>
      <c r="Y200" s="950">
        <v>100</v>
      </c>
      <c r="Z200" s="950">
        <v>4</v>
      </c>
      <c r="AA200" s="950">
        <v>4</v>
      </c>
      <c r="AB200" s="950">
        <v>2</v>
      </c>
      <c r="AC200" s="950">
        <v>2</v>
      </c>
      <c r="AD200" s="950">
        <v>4</v>
      </c>
      <c r="AE200" s="950">
        <v>4</v>
      </c>
      <c r="AF200" s="955">
        <f t="shared" si="329"/>
        <v>81</v>
      </c>
      <c r="AG200" s="955">
        <f t="shared" si="330"/>
        <v>321</v>
      </c>
      <c r="AH200" s="955">
        <f t="shared" si="331"/>
        <v>161</v>
      </c>
      <c r="AI200" s="955">
        <v>0</v>
      </c>
      <c r="AJ200" s="955">
        <v>0</v>
      </c>
      <c r="AK200" s="948">
        <f t="shared" si="332"/>
        <v>16.8</v>
      </c>
      <c r="AL200" s="948">
        <f t="shared" si="333"/>
        <v>16.8</v>
      </c>
      <c r="AM200" s="948">
        <f t="shared" si="334"/>
        <v>32.512</v>
      </c>
      <c r="AN200" s="948">
        <f t="shared" si="335"/>
        <v>32.512</v>
      </c>
      <c r="AO200" s="948">
        <f t="shared" si="336"/>
        <v>16.8</v>
      </c>
      <c r="AP200" s="948">
        <f t="shared" si="337"/>
        <v>16.8</v>
      </c>
      <c r="AQ200" s="948">
        <f t="shared" si="338"/>
        <v>1.508</v>
      </c>
      <c r="AR200" s="948">
        <f t="shared" si="339"/>
        <v>0</v>
      </c>
      <c r="AS200" s="948">
        <f t="shared" si="340"/>
        <v>0</v>
      </c>
      <c r="AT200" s="948">
        <f t="shared" si="341"/>
        <v>67.2</v>
      </c>
      <c r="AU200" s="948">
        <f t="shared" si="342"/>
        <v>67.2</v>
      </c>
      <c r="AV200" s="948">
        <f t="shared" si="343"/>
        <v>65.024000000000001</v>
      </c>
      <c r="AW200" s="948">
        <f t="shared" si="344"/>
        <v>65.024000000000001</v>
      </c>
      <c r="AX200" s="948">
        <f t="shared" si="345"/>
        <v>67.2</v>
      </c>
      <c r="AY200" s="948">
        <f t="shared" si="346"/>
        <v>67.2</v>
      </c>
      <c r="AZ200" s="948">
        <f t="shared" si="347"/>
        <v>849.00400000000002</v>
      </c>
      <c r="BA200" s="948">
        <f t="shared" si="348"/>
        <v>0</v>
      </c>
      <c r="BB200" s="948">
        <f t="shared" si="349"/>
        <v>0</v>
      </c>
      <c r="BC200" s="957">
        <f t="shared" si="350"/>
        <v>1.5786666666666667</v>
      </c>
      <c r="BD200" s="957">
        <f t="shared" si="350"/>
        <v>1.5786666666666667</v>
      </c>
      <c r="BE200" s="957">
        <f t="shared" si="350"/>
        <v>1.5786666666666667</v>
      </c>
      <c r="BF200" s="957">
        <f t="shared" si="350"/>
        <v>1.5786666666666667</v>
      </c>
      <c r="BG200" s="957">
        <f t="shared" si="350"/>
        <v>1.5786666666666667</v>
      </c>
      <c r="BH200" s="957">
        <f t="shared" si="350"/>
        <v>1.5786666666666667</v>
      </c>
      <c r="BI200" s="957">
        <f t="shared" si="350"/>
        <v>0.39466666666666667</v>
      </c>
      <c r="BJ200" s="957">
        <f t="shared" si="350"/>
        <v>0</v>
      </c>
      <c r="BK200" s="957">
        <f t="shared" si="350"/>
        <v>0</v>
      </c>
      <c r="BL200" s="948">
        <f t="shared" si="351"/>
        <v>106.0864</v>
      </c>
      <c r="BM200" s="948">
        <f t="shared" si="351"/>
        <v>106.0864</v>
      </c>
      <c r="BN200" s="948">
        <f t="shared" si="351"/>
        <v>102.65122133333334</v>
      </c>
      <c r="BO200" s="948">
        <f t="shared" si="351"/>
        <v>102.65122133333334</v>
      </c>
      <c r="BP200" s="948">
        <f t="shared" si="351"/>
        <v>106.0864</v>
      </c>
      <c r="BQ200" s="948">
        <f t="shared" si="351"/>
        <v>106.0864</v>
      </c>
      <c r="BR200" s="948">
        <f t="shared" si="351"/>
        <v>335.07357866666666</v>
      </c>
      <c r="BS200" s="948">
        <f>BB200*BK200</f>
        <v>0</v>
      </c>
      <c r="BT200" s="955">
        <f>SUM(BL200:BS200)/K200</f>
        <v>125.61479444444446</v>
      </c>
    </row>
    <row r="201" spans="1:72">
      <c r="A201" s="952">
        <v>3</v>
      </c>
      <c r="B201" s="952" t="s">
        <v>1092</v>
      </c>
      <c r="C201" s="950" t="s">
        <v>1093</v>
      </c>
      <c r="D201" s="950">
        <v>1</v>
      </c>
      <c r="E201" s="950">
        <v>1</v>
      </c>
      <c r="F201" s="948">
        <v>80</v>
      </c>
      <c r="G201" s="948">
        <v>0.25</v>
      </c>
      <c r="H201" s="948">
        <v>0.6</v>
      </c>
      <c r="I201" s="948">
        <v>0.12</v>
      </c>
      <c r="J201" s="948">
        <f>H201-I201</f>
        <v>0.48</v>
      </c>
      <c r="K201" s="948">
        <f>F201*G201*J201*D201*E201</f>
        <v>9.6</v>
      </c>
      <c r="L201" s="948">
        <f>(2*J201)*F201*E201*D201</f>
        <v>76.8</v>
      </c>
      <c r="M201" s="952"/>
      <c r="N201" s="950">
        <v>16</v>
      </c>
      <c r="O201" s="950">
        <v>16</v>
      </c>
      <c r="P201" s="950">
        <v>16</v>
      </c>
      <c r="Q201" s="950">
        <v>16</v>
      </c>
      <c r="R201" s="950">
        <v>16</v>
      </c>
      <c r="S201" s="950">
        <v>16</v>
      </c>
      <c r="T201" s="950">
        <v>8</v>
      </c>
      <c r="U201" s="950"/>
      <c r="V201" s="950"/>
      <c r="W201" s="950">
        <v>200</v>
      </c>
      <c r="X201" s="950">
        <v>100</v>
      </c>
      <c r="Y201" s="950">
        <v>100</v>
      </c>
      <c r="Z201" s="950">
        <v>9</v>
      </c>
      <c r="AA201" s="950">
        <v>6</v>
      </c>
      <c r="AB201" s="950">
        <v>4</v>
      </c>
      <c r="AC201" s="950">
        <v>4</v>
      </c>
      <c r="AD201" s="950">
        <v>9</v>
      </c>
      <c r="AE201" s="950">
        <v>6</v>
      </c>
      <c r="AF201" s="955">
        <f t="shared" si="329"/>
        <v>101</v>
      </c>
      <c r="AG201" s="955">
        <f t="shared" si="330"/>
        <v>401</v>
      </c>
      <c r="AH201" s="955">
        <f t="shared" si="331"/>
        <v>201</v>
      </c>
      <c r="AI201" s="955">
        <v>0</v>
      </c>
      <c r="AJ201" s="955">
        <v>0</v>
      </c>
      <c r="AK201" s="948">
        <f t="shared" si="332"/>
        <v>20.8</v>
      </c>
      <c r="AL201" s="948">
        <f t="shared" si="333"/>
        <v>20.8</v>
      </c>
      <c r="AM201" s="948">
        <f t="shared" si="334"/>
        <v>40.512</v>
      </c>
      <c r="AN201" s="948">
        <f t="shared" si="335"/>
        <v>40.512</v>
      </c>
      <c r="AO201" s="948">
        <f t="shared" si="336"/>
        <v>20.8</v>
      </c>
      <c r="AP201" s="948">
        <f t="shared" si="337"/>
        <v>20.8</v>
      </c>
      <c r="AQ201" s="948">
        <f t="shared" si="338"/>
        <v>1.508</v>
      </c>
      <c r="AR201" s="948">
        <f t="shared" si="339"/>
        <v>0</v>
      </c>
      <c r="AS201" s="948">
        <f t="shared" si="340"/>
        <v>0</v>
      </c>
      <c r="AT201" s="948">
        <f t="shared" si="341"/>
        <v>187.20000000000002</v>
      </c>
      <c r="AU201" s="948">
        <f t="shared" si="342"/>
        <v>124.80000000000001</v>
      </c>
      <c r="AV201" s="948">
        <f t="shared" si="343"/>
        <v>162.048</v>
      </c>
      <c r="AW201" s="948">
        <f t="shared" si="344"/>
        <v>162.048</v>
      </c>
      <c r="AX201" s="948">
        <f t="shared" si="345"/>
        <v>187.20000000000002</v>
      </c>
      <c r="AY201" s="948">
        <f t="shared" si="346"/>
        <v>124.80000000000001</v>
      </c>
      <c r="AZ201" s="948">
        <f t="shared" si="347"/>
        <v>1060.124</v>
      </c>
      <c r="BA201" s="948">
        <f t="shared" si="348"/>
        <v>0</v>
      </c>
      <c r="BB201" s="948">
        <f t="shared" si="349"/>
        <v>0</v>
      </c>
      <c r="BC201" s="957">
        <f t="shared" si="350"/>
        <v>1.5786666666666667</v>
      </c>
      <c r="BD201" s="957">
        <f t="shared" si="350"/>
        <v>1.5786666666666667</v>
      </c>
      <c r="BE201" s="957">
        <f t="shared" si="350"/>
        <v>1.5786666666666667</v>
      </c>
      <c r="BF201" s="957">
        <f t="shared" si="350"/>
        <v>1.5786666666666667</v>
      </c>
      <c r="BG201" s="957">
        <f t="shared" si="350"/>
        <v>1.5786666666666667</v>
      </c>
      <c r="BH201" s="957">
        <f t="shared" si="350"/>
        <v>1.5786666666666667</v>
      </c>
      <c r="BI201" s="957">
        <f t="shared" si="350"/>
        <v>0.39466666666666667</v>
      </c>
      <c r="BJ201" s="957">
        <f t="shared" si="350"/>
        <v>0</v>
      </c>
      <c r="BK201" s="957">
        <f t="shared" si="350"/>
        <v>0</v>
      </c>
      <c r="BL201" s="948">
        <f t="shared" si="351"/>
        <v>295.52640000000002</v>
      </c>
      <c r="BM201" s="948">
        <f t="shared" si="351"/>
        <v>197.01760000000002</v>
      </c>
      <c r="BN201" s="948">
        <f t="shared" si="351"/>
        <v>255.81977599999999</v>
      </c>
      <c r="BO201" s="948">
        <f t="shared" si="351"/>
        <v>255.81977599999999</v>
      </c>
      <c r="BP201" s="948">
        <f t="shared" si="351"/>
        <v>295.52640000000002</v>
      </c>
      <c r="BQ201" s="948">
        <f t="shared" si="351"/>
        <v>197.01760000000002</v>
      </c>
      <c r="BR201" s="948">
        <f t="shared" si="351"/>
        <v>418.39560533333332</v>
      </c>
      <c r="BS201" s="948">
        <f>BB201*BK201</f>
        <v>0</v>
      </c>
      <c r="BT201" s="955">
        <f>SUM(BL201:BS201)/K201</f>
        <v>199.49199555555555</v>
      </c>
    </row>
    <row r="202" spans="1:72">
      <c r="A202" s="952">
        <v>4</v>
      </c>
      <c r="B202" s="952" t="s">
        <v>1164</v>
      </c>
      <c r="C202" s="950" t="s">
        <v>1165</v>
      </c>
      <c r="D202" s="950">
        <v>1</v>
      </c>
      <c r="E202" s="950">
        <v>1</v>
      </c>
      <c r="F202" s="948">
        <v>80</v>
      </c>
      <c r="G202" s="948">
        <v>0.3</v>
      </c>
      <c r="H202" s="948">
        <v>0.65</v>
      </c>
      <c r="I202" s="948">
        <v>0.12</v>
      </c>
      <c r="J202" s="948">
        <f>H202-I202</f>
        <v>0.53</v>
      </c>
      <c r="K202" s="948">
        <f>F202*G202*J202*D202*E202</f>
        <v>12.72</v>
      </c>
      <c r="L202" s="948">
        <f>(2*J202)*F202*E202*D202</f>
        <v>84.800000000000011</v>
      </c>
      <c r="M202" s="952"/>
      <c r="N202" s="950">
        <v>16</v>
      </c>
      <c r="O202" s="950">
        <v>16</v>
      </c>
      <c r="P202" s="950">
        <v>16</v>
      </c>
      <c r="Q202" s="950">
        <v>16</v>
      </c>
      <c r="R202" s="950">
        <v>16</v>
      </c>
      <c r="S202" s="950">
        <v>16</v>
      </c>
      <c r="T202" s="950">
        <v>8</v>
      </c>
      <c r="U202" s="950"/>
      <c r="V202" s="950"/>
      <c r="W202" s="950">
        <v>200</v>
      </c>
      <c r="X202" s="950">
        <v>100</v>
      </c>
      <c r="Y202" s="950">
        <v>100</v>
      </c>
      <c r="Z202" s="950">
        <v>4</v>
      </c>
      <c r="AA202" s="950">
        <v>4</v>
      </c>
      <c r="AB202" s="950">
        <v>2</v>
      </c>
      <c r="AC202" s="950">
        <v>2</v>
      </c>
      <c r="AD202" s="950">
        <v>4</v>
      </c>
      <c r="AE202" s="950">
        <v>4</v>
      </c>
      <c r="AF202" s="955">
        <f t="shared" si="329"/>
        <v>101</v>
      </c>
      <c r="AG202" s="955">
        <f t="shared" si="330"/>
        <v>401</v>
      </c>
      <c r="AH202" s="955">
        <f t="shared" si="331"/>
        <v>201</v>
      </c>
      <c r="AI202" s="955">
        <v>0</v>
      </c>
      <c r="AJ202" s="955">
        <v>0</v>
      </c>
      <c r="AK202" s="948">
        <f t="shared" si="332"/>
        <v>20.8</v>
      </c>
      <c r="AL202" s="948">
        <f t="shared" si="333"/>
        <v>20.8</v>
      </c>
      <c r="AM202" s="948">
        <f t="shared" si="334"/>
        <v>40.512</v>
      </c>
      <c r="AN202" s="948">
        <f t="shared" si="335"/>
        <v>40.512</v>
      </c>
      <c r="AO202" s="948">
        <f t="shared" si="336"/>
        <v>20.8</v>
      </c>
      <c r="AP202" s="948">
        <f t="shared" si="337"/>
        <v>20.8</v>
      </c>
      <c r="AQ202" s="948">
        <f t="shared" si="338"/>
        <v>1.708</v>
      </c>
      <c r="AR202" s="948">
        <f t="shared" si="339"/>
        <v>0</v>
      </c>
      <c r="AS202" s="948">
        <f t="shared" si="340"/>
        <v>0</v>
      </c>
      <c r="AT202" s="948">
        <f t="shared" si="341"/>
        <v>83.2</v>
      </c>
      <c r="AU202" s="948">
        <f t="shared" si="342"/>
        <v>83.2</v>
      </c>
      <c r="AV202" s="948">
        <f t="shared" si="343"/>
        <v>81.024000000000001</v>
      </c>
      <c r="AW202" s="948">
        <f t="shared" si="344"/>
        <v>81.024000000000001</v>
      </c>
      <c r="AX202" s="948">
        <f t="shared" si="345"/>
        <v>83.2</v>
      </c>
      <c r="AY202" s="948">
        <f t="shared" si="346"/>
        <v>83.2</v>
      </c>
      <c r="AZ202" s="948">
        <f t="shared" si="347"/>
        <v>1200.7239999999999</v>
      </c>
      <c r="BA202" s="948">
        <f t="shared" si="348"/>
        <v>0</v>
      </c>
      <c r="BB202" s="948">
        <f t="shared" si="349"/>
        <v>0</v>
      </c>
      <c r="BC202" s="957">
        <f t="shared" si="350"/>
        <v>1.5786666666666667</v>
      </c>
      <c r="BD202" s="957">
        <f t="shared" si="350"/>
        <v>1.5786666666666667</v>
      </c>
      <c r="BE202" s="957">
        <f t="shared" si="350"/>
        <v>1.5786666666666667</v>
      </c>
      <c r="BF202" s="957">
        <f t="shared" si="350"/>
        <v>1.5786666666666667</v>
      </c>
      <c r="BG202" s="957">
        <f t="shared" si="350"/>
        <v>1.5786666666666667</v>
      </c>
      <c r="BH202" s="957">
        <f t="shared" si="350"/>
        <v>1.5786666666666667</v>
      </c>
      <c r="BI202" s="957">
        <f t="shared" si="350"/>
        <v>0.39466666666666667</v>
      </c>
      <c r="BJ202" s="957">
        <f t="shared" si="350"/>
        <v>0</v>
      </c>
      <c r="BK202" s="957">
        <f t="shared" si="350"/>
        <v>0</v>
      </c>
      <c r="BL202" s="948">
        <f t="shared" si="351"/>
        <v>131.34506666666667</v>
      </c>
      <c r="BM202" s="948">
        <f t="shared" si="351"/>
        <v>131.34506666666667</v>
      </c>
      <c r="BN202" s="948">
        <f t="shared" si="351"/>
        <v>127.909888</v>
      </c>
      <c r="BO202" s="948">
        <f t="shared" si="351"/>
        <v>127.909888</v>
      </c>
      <c r="BP202" s="948">
        <f t="shared" si="351"/>
        <v>131.34506666666667</v>
      </c>
      <c r="BQ202" s="948">
        <f t="shared" si="351"/>
        <v>131.34506666666667</v>
      </c>
      <c r="BR202" s="948">
        <f t="shared" si="351"/>
        <v>473.88573866666661</v>
      </c>
      <c r="BS202" s="948">
        <f>BB202*BK202</f>
        <v>0</v>
      </c>
      <c r="BT202" s="955">
        <f>SUM(BL202:BS202)/K202</f>
        <v>98.670265828092226</v>
      </c>
    </row>
    <row r="203" spans="1:72">
      <c r="A203" s="952">
        <v>5</v>
      </c>
      <c r="B203" s="952" t="s">
        <v>1166</v>
      </c>
      <c r="C203" s="950" t="s">
        <v>1103</v>
      </c>
      <c r="D203" s="950">
        <v>1</v>
      </c>
      <c r="E203" s="950">
        <v>1</v>
      </c>
      <c r="F203" s="948">
        <v>10</v>
      </c>
      <c r="G203" s="948">
        <v>0.3</v>
      </c>
      <c r="H203" s="948">
        <v>0.7</v>
      </c>
      <c r="I203" s="948">
        <v>0.12</v>
      </c>
      <c r="J203" s="948">
        <f t="shared" ref="J203" si="352">H203-I203</f>
        <v>0.57999999999999996</v>
      </c>
      <c r="K203" s="948">
        <f t="shared" ref="K203" si="353">F203*G203*J203*D203*E203</f>
        <v>1.7399999999999998</v>
      </c>
      <c r="L203" s="948">
        <f t="shared" ref="L203" si="354">(2*J203)*F203*E203*D203+(D203*E203*F203*G203)</f>
        <v>14.6</v>
      </c>
      <c r="M203" s="952"/>
      <c r="N203" s="950">
        <v>16</v>
      </c>
      <c r="O203" s="950">
        <v>16</v>
      </c>
      <c r="P203" s="950">
        <v>16</v>
      </c>
      <c r="Q203" s="950">
        <v>16</v>
      </c>
      <c r="R203" s="950">
        <v>16</v>
      </c>
      <c r="S203" s="950">
        <v>16</v>
      </c>
      <c r="T203" s="950">
        <v>8</v>
      </c>
      <c r="U203" s="950"/>
      <c r="V203" s="950"/>
      <c r="W203" s="950">
        <v>200</v>
      </c>
      <c r="X203" s="950">
        <v>100</v>
      </c>
      <c r="Y203" s="950">
        <v>100</v>
      </c>
      <c r="Z203" s="950">
        <v>4</v>
      </c>
      <c r="AA203" s="950">
        <v>4</v>
      </c>
      <c r="AB203" s="950">
        <v>2</v>
      </c>
      <c r="AC203" s="950">
        <v>2</v>
      </c>
      <c r="AD203" s="950">
        <v>4</v>
      </c>
      <c r="AE203" s="950">
        <v>4</v>
      </c>
      <c r="AF203" s="955">
        <f t="shared" si="329"/>
        <v>13.5</v>
      </c>
      <c r="AG203" s="955">
        <f t="shared" si="330"/>
        <v>51</v>
      </c>
      <c r="AH203" s="955">
        <f t="shared" si="331"/>
        <v>26</v>
      </c>
      <c r="AI203" s="955">
        <v>0</v>
      </c>
      <c r="AJ203" s="955">
        <v>0</v>
      </c>
      <c r="AK203" s="948">
        <f t="shared" si="332"/>
        <v>3.3000000000000003</v>
      </c>
      <c r="AL203" s="948">
        <f t="shared" si="333"/>
        <v>3.3000000000000003</v>
      </c>
      <c r="AM203" s="948">
        <f t="shared" si="334"/>
        <v>5.5120000000000005</v>
      </c>
      <c r="AN203" s="948">
        <f t="shared" si="335"/>
        <v>5.5120000000000005</v>
      </c>
      <c r="AO203" s="948">
        <f t="shared" si="336"/>
        <v>3.3000000000000003</v>
      </c>
      <c r="AP203" s="948">
        <f t="shared" si="337"/>
        <v>3.3000000000000003</v>
      </c>
      <c r="AQ203" s="948">
        <f t="shared" si="338"/>
        <v>1.8080000000000001</v>
      </c>
      <c r="AR203" s="948">
        <f t="shared" si="339"/>
        <v>0</v>
      </c>
      <c r="AS203" s="948">
        <f t="shared" si="340"/>
        <v>0</v>
      </c>
      <c r="AT203" s="948">
        <f t="shared" si="341"/>
        <v>13.200000000000001</v>
      </c>
      <c r="AU203" s="948">
        <f t="shared" si="342"/>
        <v>13.200000000000001</v>
      </c>
      <c r="AV203" s="948">
        <f t="shared" si="343"/>
        <v>11.024000000000001</v>
      </c>
      <c r="AW203" s="948">
        <f t="shared" si="344"/>
        <v>11.024000000000001</v>
      </c>
      <c r="AX203" s="948">
        <f t="shared" si="345"/>
        <v>13.200000000000001</v>
      </c>
      <c r="AY203" s="948">
        <f t="shared" si="346"/>
        <v>13.200000000000001</v>
      </c>
      <c r="AZ203" s="948">
        <f t="shared" si="347"/>
        <v>163.624</v>
      </c>
      <c r="BA203" s="948">
        <f t="shared" si="348"/>
        <v>0</v>
      </c>
      <c r="BB203" s="948">
        <f t="shared" si="349"/>
        <v>0</v>
      </c>
      <c r="BC203" s="957">
        <f t="shared" si="350"/>
        <v>1.5786666666666667</v>
      </c>
      <c r="BD203" s="957">
        <f t="shared" si="350"/>
        <v>1.5786666666666667</v>
      </c>
      <c r="BE203" s="957">
        <f t="shared" si="350"/>
        <v>1.5786666666666667</v>
      </c>
      <c r="BF203" s="957">
        <f t="shared" si="350"/>
        <v>1.5786666666666667</v>
      </c>
      <c r="BG203" s="957">
        <f t="shared" si="350"/>
        <v>1.5786666666666667</v>
      </c>
      <c r="BH203" s="957">
        <f t="shared" si="350"/>
        <v>1.5786666666666667</v>
      </c>
      <c r="BI203" s="957">
        <f t="shared" si="350"/>
        <v>0.39466666666666667</v>
      </c>
      <c r="BJ203" s="957">
        <f t="shared" si="350"/>
        <v>0</v>
      </c>
      <c r="BK203" s="957">
        <f t="shared" si="350"/>
        <v>0</v>
      </c>
      <c r="BL203" s="948">
        <f t="shared" si="351"/>
        <v>20.8384</v>
      </c>
      <c r="BM203" s="948">
        <f t="shared" si="351"/>
        <v>20.8384</v>
      </c>
      <c r="BN203" s="948">
        <f t="shared" si="351"/>
        <v>17.403221333333335</v>
      </c>
      <c r="BO203" s="948">
        <f t="shared" si="351"/>
        <v>17.403221333333335</v>
      </c>
      <c r="BP203" s="948">
        <f t="shared" si="351"/>
        <v>20.8384</v>
      </c>
      <c r="BQ203" s="948">
        <f t="shared" si="351"/>
        <v>20.8384</v>
      </c>
      <c r="BR203" s="948">
        <f t="shared" si="351"/>
        <v>64.576938666666663</v>
      </c>
      <c r="BS203" s="948">
        <f>BB203*BK203</f>
        <v>0</v>
      </c>
      <c r="BT203" s="955">
        <f>SUM(BL203:BS203)/K203</f>
        <v>105.02125363984676</v>
      </c>
    </row>
    <row r="204" spans="1:72">
      <c r="A204" s="952"/>
      <c r="B204" s="952"/>
      <c r="C204" s="950"/>
      <c r="D204" s="950"/>
      <c r="E204" s="950"/>
      <c r="F204" s="948"/>
      <c r="G204" s="948"/>
      <c r="H204" s="948"/>
      <c r="I204" s="948"/>
      <c r="J204" s="948"/>
      <c r="K204" s="948"/>
      <c r="L204" s="948"/>
      <c r="M204" s="952"/>
      <c r="N204" s="948"/>
      <c r="O204" s="950"/>
      <c r="P204" s="950"/>
      <c r="Q204" s="950"/>
      <c r="R204" s="950"/>
      <c r="S204" s="950"/>
      <c r="T204" s="950"/>
      <c r="U204" s="950"/>
      <c r="V204" s="950"/>
      <c r="W204" s="950"/>
      <c r="X204" s="950"/>
      <c r="Y204" s="950"/>
      <c r="Z204" s="950"/>
      <c r="AA204" s="950"/>
      <c r="AB204" s="950"/>
      <c r="AC204" s="950"/>
      <c r="AD204" s="950"/>
      <c r="AE204" s="950"/>
      <c r="AF204" s="955"/>
      <c r="AG204" s="955"/>
      <c r="AH204" s="955"/>
      <c r="AI204" s="955"/>
      <c r="AJ204" s="955"/>
      <c r="AK204" s="948"/>
      <c r="AL204" s="948"/>
      <c r="AM204" s="948"/>
      <c r="AN204" s="948"/>
      <c r="AO204" s="948"/>
      <c r="AP204" s="948"/>
      <c r="AQ204" s="948"/>
      <c r="AR204" s="948"/>
      <c r="AS204" s="948"/>
      <c r="AT204" s="948"/>
      <c r="AU204" s="948"/>
      <c r="AV204" s="948"/>
      <c r="AW204" s="948"/>
      <c r="AX204" s="948"/>
      <c r="AY204" s="948"/>
      <c r="AZ204" s="948"/>
      <c r="BA204" s="948"/>
      <c r="BB204" s="948"/>
      <c r="BC204" s="957"/>
      <c r="BD204" s="957"/>
      <c r="BE204" s="957"/>
      <c r="BF204" s="957"/>
      <c r="BG204" s="957"/>
      <c r="BH204" s="957"/>
      <c r="BI204" s="957"/>
      <c r="BJ204" s="957"/>
      <c r="BK204" s="957"/>
      <c r="BL204" s="948"/>
      <c r="BM204" s="948"/>
      <c r="BN204" s="948"/>
      <c r="BO204" s="948"/>
      <c r="BP204" s="948"/>
      <c r="BQ204" s="948"/>
      <c r="BR204" s="948"/>
      <c r="BS204" s="948"/>
      <c r="BT204" s="955"/>
    </row>
    <row r="205" spans="1:72">
      <c r="A205" s="960" t="s">
        <v>8</v>
      </c>
      <c r="B205" s="960" t="s">
        <v>1104</v>
      </c>
      <c r="C205" s="950"/>
      <c r="D205" s="950"/>
      <c r="E205" s="950"/>
      <c r="F205" s="948"/>
      <c r="G205" s="948"/>
      <c r="H205" s="948"/>
      <c r="I205" s="948"/>
      <c r="J205" s="948"/>
      <c r="K205" s="948"/>
      <c r="L205" s="948"/>
      <c r="M205" s="952"/>
      <c r="N205" s="959" t="str">
        <f>A205</f>
        <v>B</v>
      </c>
      <c r="O205" s="959" t="str">
        <f>B205</f>
        <v>Horizontal</v>
      </c>
      <c r="P205" s="950"/>
      <c r="Q205" s="950"/>
      <c r="R205" s="950"/>
      <c r="S205" s="950"/>
      <c r="T205" s="950"/>
      <c r="U205" s="950"/>
      <c r="V205" s="950"/>
      <c r="W205" s="950"/>
      <c r="X205" s="950"/>
      <c r="Y205" s="950"/>
      <c r="Z205" s="950"/>
      <c r="AA205" s="950"/>
      <c r="AB205" s="950"/>
      <c r="AC205" s="950"/>
      <c r="AD205" s="950"/>
      <c r="AE205" s="950"/>
      <c r="AF205" s="955"/>
      <c r="AG205" s="955"/>
      <c r="AH205" s="955"/>
      <c r="AI205" s="955"/>
      <c r="AJ205" s="955"/>
      <c r="AK205" s="948"/>
      <c r="AL205" s="948"/>
      <c r="AM205" s="948"/>
      <c r="AN205" s="948"/>
      <c r="AO205" s="948"/>
      <c r="AP205" s="948"/>
      <c r="AQ205" s="948"/>
      <c r="AR205" s="948"/>
      <c r="AS205" s="948"/>
      <c r="AT205" s="948"/>
      <c r="AU205" s="948"/>
      <c r="AV205" s="948"/>
      <c r="AW205" s="948"/>
      <c r="AX205" s="948"/>
      <c r="AY205" s="948"/>
      <c r="AZ205" s="948"/>
      <c r="BA205" s="948"/>
      <c r="BB205" s="948"/>
      <c r="BC205" s="957"/>
      <c r="BD205" s="957"/>
      <c r="BE205" s="957"/>
      <c r="BF205" s="957"/>
      <c r="BG205" s="957"/>
      <c r="BH205" s="957"/>
      <c r="BI205" s="957"/>
      <c r="BJ205" s="957"/>
      <c r="BK205" s="957"/>
      <c r="BL205" s="948"/>
      <c r="BM205" s="948"/>
      <c r="BN205" s="948"/>
      <c r="BO205" s="948"/>
      <c r="BP205" s="948"/>
      <c r="BQ205" s="948"/>
      <c r="BR205" s="948"/>
      <c r="BS205" s="948"/>
      <c r="BT205" s="955"/>
    </row>
    <row r="206" spans="1:72">
      <c r="A206" s="952">
        <v>1</v>
      </c>
      <c r="B206" s="952" t="s">
        <v>1167</v>
      </c>
      <c r="C206" s="950" t="s">
        <v>1168</v>
      </c>
      <c r="D206" s="950">
        <v>1</v>
      </c>
      <c r="E206" s="950">
        <v>1</v>
      </c>
      <c r="F206" s="948">
        <v>8</v>
      </c>
      <c r="G206" s="948">
        <v>0.25</v>
      </c>
      <c r="H206" s="948">
        <v>0.6</v>
      </c>
      <c r="I206" s="948">
        <v>0.12</v>
      </c>
      <c r="J206" s="948">
        <f t="shared" ref="J206:J211" si="355">H206-I206</f>
        <v>0.48</v>
      </c>
      <c r="K206" s="948">
        <f>F206*G206*J206*D206*E206</f>
        <v>0.96</v>
      </c>
      <c r="L206" s="948">
        <f t="shared" ref="L206" si="356">(2*J206)*F206*E206*D206+(D206*E206*F206*G206)</f>
        <v>9.68</v>
      </c>
      <c r="M206" s="952"/>
      <c r="N206" s="950">
        <v>16</v>
      </c>
      <c r="O206" s="950">
        <v>16</v>
      </c>
      <c r="P206" s="950">
        <v>16</v>
      </c>
      <c r="Q206" s="950">
        <v>16</v>
      </c>
      <c r="R206" s="950">
        <v>16</v>
      </c>
      <c r="S206" s="950">
        <v>16</v>
      </c>
      <c r="T206" s="950">
        <v>8</v>
      </c>
      <c r="U206" s="950"/>
      <c r="V206" s="950"/>
      <c r="W206" s="950">
        <v>200</v>
      </c>
      <c r="X206" s="950">
        <v>100</v>
      </c>
      <c r="Y206" s="950">
        <v>100</v>
      </c>
      <c r="Z206" s="950">
        <v>4</v>
      </c>
      <c r="AA206" s="950">
        <v>4</v>
      </c>
      <c r="AB206" s="950">
        <v>2</v>
      </c>
      <c r="AC206" s="950">
        <v>2</v>
      </c>
      <c r="AD206" s="950">
        <v>4</v>
      </c>
      <c r="AE206" s="950">
        <v>4</v>
      </c>
      <c r="AF206" s="955">
        <f t="shared" ref="AF206:AF211" si="357">(F206/4)/(W206/1000)+1</f>
        <v>11</v>
      </c>
      <c r="AG206" s="955">
        <f t="shared" ref="AG206:AG211" si="358">(F206/2)/(X206/1000)+1</f>
        <v>41</v>
      </c>
      <c r="AH206" s="955">
        <f t="shared" ref="AH206:AH211" si="359">(F206/4)/(Y206/1000)+1</f>
        <v>21</v>
      </c>
      <c r="AI206" s="955">
        <v>0</v>
      </c>
      <c r="AJ206" s="955">
        <v>0</v>
      </c>
      <c r="AK206" s="948">
        <f t="shared" ref="AK206:AK211" si="360">(F206/4)+(20*N206/1000)+(10*N206/1000)+(8*N206/1000)+(6*2*N206/1000)</f>
        <v>2.8000000000000003</v>
      </c>
      <c r="AL206" s="948">
        <f t="shared" ref="AL206:AL211" si="361">(F206/4)+(20*O206/1000)+(10*O206/1000)+(8*O206/1000)+(6*2*O206/1000)</f>
        <v>2.8000000000000003</v>
      </c>
      <c r="AM206" s="948">
        <f t="shared" ref="AM206:AM211" si="362">(F206/2)+(20*P206/1000)+(6*2*P206/1000)</f>
        <v>4.5120000000000005</v>
      </c>
      <c r="AN206" s="948">
        <f t="shared" ref="AN206:AN211" si="363">(F206/2)+(20*Q206/1000)+(6*2*Q206/1000)</f>
        <v>4.5120000000000005</v>
      </c>
      <c r="AO206" s="948">
        <f t="shared" ref="AO206:AO211" si="364">(F206/4)+(20*R206/1000)+(10*R206/1000)+(8*R206/1000)+(6*2*R206/1000)</f>
        <v>2.8000000000000003</v>
      </c>
      <c r="AP206" s="948">
        <f t="shared" ref="AP206:AP211" si="365">(F206/4)+(20*S206/1000)+(10*S206/1000)+(8*S206/1000)+(6*2*S206/1000)</f>
        <v>2.8000000000000003</v>
      </c>
      <c r="AQ206" s="948">
        <f t="shared" ref="AQ206:AQ211" si="366">(2*G206)+(2*H206)+(6*T206/1000)-(8*0.03)</f>
        <v>1.508</v>
      </c>
      <c r="AR206" s="948">
        <f t="shared" ref="AR206:AR211" si="367">((H206)+(2*6*U206/1000)-(2*0.03))*AI206</f>
        <v>0</v>
      </c>
      <c r="AS206" s="948">
        <f t="shared" ref="AS206:AS211" si="368">((G206)+(2*6*V206/1000)-(2*0.03))*AJ206</f>
        <v>0</v>
      </c>
      <c r="AT206" s="948">
        <f t="shared" ref="AT206:AT211" si="369">AK206*Z206*E206*D206</f>
        <v>11.200000000000001</v>
      </c>
      <c r="AU206" s="948">
        <f t="shared" ref="AU206:AU211" si="370">AL206*AA206*E206*D206</f>
        <v>11.200000000000001</v>
      </c>
      <c r="AV206" s="948">
        <f t="shared" ref="AV206:AV211" si="371">AM206*AB206*E206*D206</f>
        <v>9.0240000000000009</v>
      </c>
      <c r="AW206" s="948">
        <f t="shared" ref="AW206:AW211" si="372">AN206*AC206*E206*D206</f>
        <v>9.0240000000000009</v>
      </c>
      <c r="AX206" s="948">
        <f t="shared" ref="AX206:AX211" si="373">AO206*AD206*E206*D206</f>
        <v>11.200000000000001</v>
      </c>
      <c r="AY206" s="948">
        <f t="shared" ref="AY206:AY211" si="374">AP206*AE206*E206*D206</f>
        <v>11.200000000000001</v>
      </c>
      <c r="AZ206" s="948">
        <f t="shared" ref="AZ206:AZ211" si="375">AQ206*(AF206+AG206+AH206)*E206*D206</f>
        <v>110.084</v>
      </c>
      <c r="BA206" s="948">
        <f t="shared" ref="BA206:BA211" si="376">AR206*(AF206+AG206+AH206)*E206*D206</f>
        <v>0</v>
      </c>
      <c r="BB206" s="948">
        <f t="shared" ref="BB206:BB211" si="377">AS206*(AF206+AG206+AH206)*E206*D206</f>
        <v>0</v>
      </c>
      <c r="BC206" s="957">
        <f t="shared" ref="BC206:BK211" si="378">N206*N206*0.074/12</f>
        <v>1.5786666666666667</v>
      </c>
      <c r="BD206" s="957">
        <f t="shared" si="378"/>
        <v>1.5786666666666667</v>
      </c>
      <c r="BE206" s="957">
        <f t="shared" si="378"/>
        <v>1.5786666666666667</v>
      </c>
      <c r="BF206" s="957">
        <f t="shared" si="378"/>
        <v>1.5786666666666667</v>
      </c>
      <c r="BG206" s="957">
        <f t="shared" si="378"/>
        <v>1.5786666666666667</v>
      </c>
      <c r="BH206" s="957">
        <f t="shared" si="378"/>
        <v>1.5786666666666667</v>
      </c>
      <c r="BI206" s="957">
        <f t="shared" si="378"/>
        <v>0.39466666666666667</v>
      </c>
      <c r="BJ206" s="957">
        <f t="shared" si="378"/>
        <v>0</v>
      </c>
      <c r="BK206" s="957">
        <f t="shared" si="378"/>
        <v>0</v>
      </c>
      <c r="BL206" s="948">
        <f t="shared" ref="BL206:BR211" si="379">AT206*BC206</f>
        <v>17.68106666666667</v>
      </c>
      <c r="BM206" s="948">
        <f t="shared" si="379"/>
        <v>17.68106666666667</v>
      </c>
      <c r="BN206" s="948">
        <f t="shared" si="379"/>
        <v>14.245888000000001</v>
      </c>
      <c r="BO206" s="948">
        <f t="shared" si="379"/>
        <v>14.245888000000001</v>
      </c>
      <c r="BP206" s="948">
        <f t="shared" si="379"/>
        <v>17.68106666666667</v>
      </c>
      <c r="BQ206" s="948">
        <f t="shared" si="379"/>
        <v>17.68106666666667</v>
      </c>
      <c r="BR206" s="948">
        <f t="shared" si="379"/>
        <v>43.446485333333335</v>
      </c>
      <c r="BS206" s="948">
        <f t="shared" ref="BS206:BS211" si="380">BB206*BK206</f>
        <v>0</v>
      </c>
      <c r="BT206" s="955">
        <f t="shared" ref="BT206:BT211" si="381">SUM(BL206:BS206)/K206</f>
        <v>148.60680000000002</v>
      </c>
    </row>
    <row r="207" spans="1:72">
      <c r="A207" s="952">
        <v>2</v>
      </c>
      <c r="B207" s="952" t="s">
        <v>1169</v>
      </c>
      <c r="C207" s="950" t="s">
        <v>1159</v>
      </c>
      <c r="D207" s="950">
        <v>1</v>
      </c>
      <c r="E207" s="950">
        <v>1</v>
      </c>
      <c r="F207" s="948">
        <v>28</v>
      </c>
      <c r="G207" s="948">
        <v>0.3</v>
      </c>
      <c r="H207" s="948">
        <v>0.7</v>
      </c>
      <c r="I207" s="948">
        <v>0.12</v>
      </c>
      <c r="J207" s="948">
        <f t="shared" si="355"/>
        <v>0.57999999999999996</v>
      </c>
      <c r="K207" s="948">
        <f t="shared" ref="K207:K211" si="382">F207*G207*J207*D207*E207</f>
        <v>4.8719999999999999</v>
      </c>
      <c r="L207" s="948">
        <f t="shared" ref="L207:L211" si="383">(2*J207)*F207*E207*D207</f>
        <v>32.479999999999997</v>
      </c>
      <c r="M207" s="952"/>
      <c r="N207" s="950">
        <v>16</v>
      </c>
      <c r="O207" s="950">
        <v>16</v>
      </c>
      <c r="P207" s="950">
        <v>16</v>
      </c>
      <c r="Q207" s="950">
        <v>16</v>
      </c>
      <c r="R207" s="950">
        <v>16</v>
      </c>
      <c r="S207" s="950">
        <v>16</v>
      </c>
      <c r="T207" s="950">
        <v>8</v>
      </c>
      <c r="U207" s="950"/>
      <c r="V207" s="950"/>
      <c r="W207" s="950">
        <v>200</v>
      </c>
      <c r="X207" s="950">
        <v>100</v>
      </c>
      <c r="Y207" s="950">
        <v>100</v>
      </c>
      <c r="Z207" s="950">
        <v>4</v>
      </c>
      <c r="AA207" s="950">
        <v>4</v>
      </c>
      <c r="AB207" s="950">
        <v>2</v>
      </c>
      <c r="AC207" s="950">
        <v>2</v>
      </c>
      <c r="AD207" s="950">
        <v>4</v>
      </c>
      <c r="AE207" s="950">
        <v>4</v>
      </c>
      <c r="AF207" s="955">
        <f t="shared" si="357"/>
        <v>36</v>
      </c>
      <c r="AG207" s="955">
        <f t="shared" si="358"/>
        <v>141</v>
      </c>
      <c r="AH207" s="955">
        <f t="shared" si="359"/>
        <v>71</v>
      </c>
      <c r="AI207" s="955">
        <v>0</v>
      </c>
      <c r="AJ207" s="955">
        <v>0</v>
      </c>
      <c r="AK207" s="948">
        <f t="shared" si="360"/>
        <v>7.8000000000000007</v>
      </c>
      <c r="AL207" s="948">
        <f t="shared" si="361"/>
        <v>7.8000000000000007</v>
      </c>
      <c r="AM207" s="948">
        <f t="shared" si="362"/>
        <v>14.512</v>
      </c>
      <c r="AN207" s="948">
        <f t="shared" si="363"/>
        <v>14.512</v>
      </c>
      <c r="AO207" s="948">
        <f t="shared" si="364"/>
        <v>7.8000000000000007</v>
      </c>
      <c r="AP207" s="948">
        <f t="shared" si="365"/>
        <v>7.8000000000000007</v>
      </c>
      <c r="AQ207" s="948">
        <f t="shared" si="366"/>
        <v>1.8080000000000001</v>
      </c>
      <c r="AR207" s="948">
        <f t="shared" si="367"/>
        <v>0</v>
      </c>
      <c r="AS207" s="948">
        <f t="shared" si="368"/>
        <v>0</v>
      </c>
      <c r="AT207" s="948">
        <f t="shared" si="369"/>
        <v>31.200000000000003</v>
      </c>
      <c r="AU207" s="948">
        <f t="shared" si="370"/>
        <v>31.200000000000003</v>
      </c>
      <c r="AV207" s="948">
        <f t="shared" si="371"/>
        <v>29.024000000000001</v>
      </c>
      <c r="AW207" s="948">
        <f t="shared" si="372"/>
        <v>29.024000000000001</v>
      </c>
      <c r="AX207" s="948">
        <f t="shared" si="373"/>
        <v>31.200000000000003</v>
      </c>
      <c r="AY207" s="948">
        <f t="shared" si="374"/>
        <v>31.200000000000003</v>
      </c>
      <c r="AZ207" s="948">
        <f t="shared" si="375"/>
        <v>448.38400000000001</v>
      </c>
      <c r="BA207" s="948">
        <f t="shared" si="376"/>
        <v>0</v>
      </c>
      <c r="BB207" s="948">
        <f t="shared" si="377"/>
        <v>0</v>
      </c>
      <c r="BC207" s="957">
        <f t="shared" si="378"/>
        <v>1.5786666666666667</v>
      </c>
      <c r="BD207" s="957">
        <f t="shared" si="378"/>
        <v>1.5786666666666667</v>
      </c>
      <c r="BE207" s="957">
        <f t="shared" si="378"/>
        <v>1.5786666666666667</v>
      </c>
      <c r="BF207" s="957">
        <f t="shared" si="378"/>
        <v>1.5786666666666667</v>
      </c>
      <c r="BG207" s="957">
        <f t="shared" si="378"/>
        <v>1.5786666666666667</v>
      </c>
      <c r="BH207" s="957">
        <f t="shared" si="378"/>
        <v>1.5786666666666667</v>
      </c>
      <c r="BI207" s="957">
        <f t="shared" si="378"/>
        <v>0.39466666666666667</v>
      </c>
      <c r="BJ207" s="957">
        <f t="shared" si="378"/>
        <v>0</v>
      </c>
      <c r="BK207" s="957">
        <f t="shared" si="378"/>
        <v>0</v>
      </c>
      <c r="BL207" s="948">
        <f t="shared" si="379"/>
        <v>49.254400000000004</v>
      </c>
      <c r="BM207" s="948">
        <f t="shared" si="379"/>
        <v>49.254400000000004</v>
      </c>
      <c r="BN207" s="948">
        <f t="shared" si="379"/>
        <v>45.819221333333331</v>
      </c>
      <c r="BO207" s="948">
        <f t="shared" si="379"/>
        <v>45.819221333333331</v>
      </c>
      <c r="BP207" s="948">
        <f t="shared" si="379"/>
        <v>49.254400000000004</v>
      </c>
      <c r="BQ207" s="948">
        <f t="shared" si="379"/>
        <v>49.254400000000004</v>
      </c>
      <c r="BR207" s="948">
        <f t="shared" si="379"/>
        <v>176.96221866666667</v>
      </c>
      <c r="BS207" s="948">
        <f t="shared" si="380"/>
        <v>0</v>
      </c>
      <c r="BT207" s="955">
        <f t="shared" si="381"/>
        <v>95.57025068418173</v>
      </c>
    </row>
    <row r="208" spans="1:72">
      <c r="A208" s="952">
        <v>3</v>
      </c>
      <c r="B208" s="952" t="s">
        <v>1170</v>
      </c>
      <c r="C208" s="950" t="s">
        <v>1171</v>
      </c>
      <c r="D208" s="950">
        <v>1</v>
      </c>
      <c r="E208" s="950">
        <v>1</v>
      </c>
      <c r="F208" s="948">
        <v>80</v>
      </c>
      <c r="G208" s="948">
        <v>0.25</v>
      </c>
      <c r="H208" s="948">
        <v>0.6</v>
      </c>
      <c r="I208" s="948">
        <v>0.12</v>
      </c>
      <c r="J208" s="948">
        <f t="shared" si="355"/>
        <v>0.48</v>
      </c>
      <c r="K208" s="948">
        <f t="shared" si="382"/>
        <v>9.6</v>
      </c>
      <c r="L208" s="948">
        <f t="shared" si="383"/>
        <v>76.8</v>
      </c>
      <c r="M208" s="952"/>
      <c r="N208" s="950">
        <v>16</v>
      </c>
      <c r="O208" s="950">
        <v>16</v>
      </c>
      <c r="P208" s="950">
        <v>16</v>
      </c>
      <c r="Q208" s="950">
        <v>16</v>
      </c>
      <c r="R208" s="950">
        <v>16</v>
      </c>
      <c r="S208" s="950">
        <v>16</v>
      </c>
      <c r="T208" s="950">
        <v>8</v>
      </c>
      <c r="U208" s="950"/>
      <c r="V208" s="950"/>
      <c r="W208" s="950">
        <v>200</v>
      </c>
      <c r="X208" s="950">
        <v>100</v>
      </c>
      <c r="Y208" s="950">
        <v>100</v>
      </c>
      <c r="Z208" s="950">
        <v>9</v>
      </c>
      <c r="AA208" s="950">
        <v>6</v>
      </c>
      <c r="AB208" s="950">
        <v>4</v>
      </c>
      <c r="AC208" s="950">
        <v>4</v>
      </c>
      <c r="AD208" s="950">
        <v>9</v>
      </c>
      <c r="AE208" s="950">
        <v>6</v>
      </c>
      <c r="AF208" s="955">
        <f t="shared" si="357"/>
        <v>101</v>
      </c>
      <c r="AG208" s="955">
        <f t="shared" si="358"/>
        <v>401</v>
      </c>
      <c r="AH208" s="955">
        <f t="shared" si="359"/>
        <v>201</v>
      </c>
      <c r="AI208" s="955">
        <v>0</v>
      </c>
      <c r="AJ208" s="955">
        <v>0</v>
      </c>
      <c r="AK208" s="948">
        <f t="shared" si="360"/>
        <v>20.8</v>
      </c>
      <c r="AL208" s="948">
        <f t="shared" si="361"/>
        <v>20.8</v>
      </c>
      <c r="AM208" s="948">
        <f t="shared" si="362"/>
        <v>40.512</v>
      </c>
      <c r="AN208" s="948">
        <f t="shared" si="363"/>
        <v>40.512</v>
      </c>
      <c r="AO208" s="948">
        <f t="shared" si="364"/>
        <v>20.8</v>
      </c>
      <c r="AP208" s="948">
        <f t="shared" si="365"/>
        <v>20.8</v>
      </c>
      <c r="AQ208" s="948">
        <f t="shared" si="366"/>
        <v>1.508</v>
      </c>
      <c r="AR208" s="948">
        <f t="shared" si="367"/>
        <v>0</v>
      </c>
      <c r="AS208" s="948">
        <f t="shared" si="368"/>
        <v>0</v>
      </c>
      <c r="AT208" s="948">
        <f t="shared" si="369"/>
        <v>187.20000000000002</v>
      </c>
      <c r="AU208" s="948">
        <f t="shared" si="370"/>
        <v>124.80000000000001</v>
      </c>
      <c r="AV208" s="948">
        <f t="shared" si="371"/>
        <v>162.048</v>
      </c>
      <c r="AW208" s="948">
        <f t="shared" si="372"/>
        <v>162.048</v>
      </c>
      <c r="AX208" s="948">
        <f t="shared" si="373"/>
        <v>187.20000000000002</v>
      </c>
      <c r="AY208" s="948">
        <f t="shared" si="374"/>
        <v>124.80000000000001</v>
      </c>
      <c r="AZ208" s="948">
        <f t="shared" si="375"/>
        <v>1060.124</v>
      </c>
      <c r="BA208" s="948">
        <f t="shared" si="376"/>
        <v>0</v>
      </c>
      <c r="BB208" s="948">
        <f t="shared" si="377"/>
        <v>0</v>
      </c>
      <c r="BC208" s="957">
        <f t="shared" si="378"/>
        <v>1.5786666666666667</v>
      </c>
      <c r="BD208" s="957">
        <f t="shared" si="378"/>
        <v>1.5786666666666667</v>
      </c>
      <c r="BE208" s="957">
        <f t="shared" si="378"/>
        <v>1.5786666666666667</v>
      </c>
      <c r="BF208" s="957">
        <f t="shared" si="378"/>
        <v>1.5786666666666667</v>
      </c>
      <c r="BG208" s="957">
        <f t="shared" si="378"/>
        <v>1.5786666666666667</v>
      </c>
      <c r="BH208" s="957">
        <f t="shared" si="378"/>
        <v>1.5786666666666667</v>
      </c>
      <c r="BI208" s="957">
        <f t="shared" si="378"/>
        <v>0.39466666666666667</v>
      </c>
      <c r="BJ208" s="957">
        <f t="shared" si="378"/>
        <v>0</v>
      </c>
      <c r="BK208" s="957">
        <f t="shared" si="378"/>
        <v>0</v>
      </c>
      <c r="BL208" s="948">
        <f t="shared" si="379"/>
        <v>295.52640000000002</v>
      </c>
      <c r="BM208" s="948">
        <f t="shared" si="379"/>
        <v>197.01760000000002</v>
      </c>
      <c r="BN208" s="948">
        <f t="shared" si="379"/>
        <v>255.81977599999999</v>
      </c>
      <c r="BO208" s="948">
        <f t="shared" si="379"/>
        <v>255.81977599999999</v>
      </c>
      <c r="BP208" s="948">
        <f t="shared" si="379"/>
        <v>295.52640000000002</v>
      </c>
      <c r="BQ208" s="948">
        <f t="shared" si="379"/>
        <v>197.01760000000002</v>
      </c>
      <c r="BR208" s="948">
        <f t="shared" si="379"/>
        <v>418.39560533333332</v>
      </c>
      <c r="BS208" s="948">
        <f t="shared" si="380"/>
        <v>0</v>
      </c>
      <c r="BT208" s="955">
        <f t="shared" si="381"/>
        <v>199.49199555555555</v>
      </c>
    </row>
    <row r="209" spans="1:72">
      <c r="A209" s="952">
        <v>4</v>
      </c>
      <c r="B209" s="952" t="s">
        <v>1164</v>
      </c>
      <c r="C209" s="950" t="s">
        <v>1172</v>
      </c>
      <c r="D209" s="950">
        <v>1</v>
      </c>
      <c r="E209" s="950">
        <v>1</v>
      </c>
      <c r="F209" s="948">
        <v>24</v>
      </c>
      <c r="G209" s="948">
        <v>0.35</v>
      </c>
      <c r="H209" s="948">
        <v>0.8</v>
      </c>
      <c r="I209" s="948">
        <v>0.12</v>
      </c>
      <c r="J209" s="948">
        <f t="shared" si="355"/>
        <v>0.68</v>
      </c>
      <c r="K209" s="948">
        <f t="shared" si="382"/>
        <v>5.7119999999999997</v>
      </c>
      <c r="L209" s="948">
        <f t="shared" si="383"/>
        <v>32.64</v>
      </c>
      <c r="M209" s="952"/>
      <c r="N209" s="950">
        <v>25</v>
      </c>
      <c r="O209" s="950">
        <v>25</v>
      </c>
      <c r="P209" s="950">
        <v>25</v>
      </c>
      <c r="Q209" s="950">
        <v>25</v>
      </c>
      <c r="R209" s="950">
        <v>25</v>
      </c>
      <c r="S209" s="950">
        <v>25</v>
      </c>
      <c r="T209" s="950">
        <v>8</v>
      </c>
      <c r="U209" s="950"/>
      <c r="V209" s="950"/>
      <c r="W209" s="950">
        <v>200</v>
      </c>
      <c r="X209" s="950">
        <v>100</v>
      </c>
      <c r="Y209" s="950">
        <v>100</v>
      </c>
      <c r="Z209" s="950">
        <v>9</v>
      </c>
      <c r="AA209" s="950">
        <v>6</v>
      </c>
      <c r="AB209" s="950">
        <v>4</v>
      </c>
      <c r="AC209" s="950">
        <v>4</v>
      </c>
      <c r="AD209" s="950">
        <v>9</v>
      </c>
      <c r="AE209" s="950">
        <v>6</v>
      </c>
      <c r="AF209" s="955">
        <f t="shared" si="357"/>
        <v>31</v>
      </c>
      <c r="AG209" s="955">
        <f t="shared" si="358"/>
        <v>121</v>
      </c>
      <c r="AH209" s="955">
        <f t="shared" si="359"/>
        <v>61</v>
      </c>
      <c r="AI209" s="955">
        <v>0</v>
      </c>
      <c r="AJ209" s="955">
        <v>0</v>
      </c>
      <c r="AK209" s="948">
        <f t="shared" si="360"/>
        <v>7.25</v>
      </c>
      <c r="AL209" s="948">
        <f t="shared" si="361"/>
        <v>7.25</v>
      </c>
      <c r="AM209" s="948">
        <f t="shared" si="362"/>
        <v>12.8</v>
      </c>
      <c r="AN209" s="948">
        <f t="shared" si="363"/>
        <v>12.8</v>
      </c>
      <c r="AO209" s="948">
        <f t="shared" si="364"/>
        <v>7.25</v>
      </c>
      <c r="AP209" s="948">
        <f t="shared" si="365"/>
        <v>7.25</v>
      </c>
      <c r="AQ209" s="948">
        <f t="shared" si="366"/>
        <v>2.1079999999999997</v>
      </c>
      <c r="AR209" s="948">
        <f t="shared" si="367"/>
        <v>0</v>
      </c>
      <c r="AS209" s="948">
        <f t="shared" si="368"/>
        <v>0</v>
      </c>
      <c r="AT209" s="948">
        <f t="shared" si="369"/>
        <v>65.25</v>
      </c>
      <c r="AU209" s="948">
        <f t="shared" si="370"/>
        <v>43.5</v>
      </c>
      <c r="AV209" s="948">
        <f t="shared" si="371"/>
        <v>51.2</v>
      </c>
      <c r="AW209" s="948">
        <f t="shared" si="372"/>
        <v>51.2</v>
      </c>
      <c r="AX209" s="948">
        <f t="shared" si="373"/>
        <v>65.25</v>
      </c>
      <c r="AY209" s="948">
        <f t="shared" si="374"/>
        <v>43.5</v>
      </c>
      <c r="AZ209" s="948">
        <f t="shared" si="375"/>
        <v>449.00399999999991</v>
      </c>
      <c r="BA209" s="948">
        <f t="shared" si="376"/>
        <v>0</v>
      </c>
      <c r="BB209" s="948">
        <f t="shared" si="377"/>
        <v>0</v>
      </c>
      <c r="BC209" s="957">
        <f t="shared" si="378"/>
        <v>3.8541666666666665</v>
      </c>
      <c r="BD209" s="957">
        <f t="shared" si="378"/>
        <v>3.8541666666666665</v>
      </c>
      <c r="BE209" s="957">
        <f t="shared" si="378"/>
        <v>3.8541666666666665</v>
      </c>
      <c r="BF209" s="957">
        <f t="shared" si="378"/>
        <v>3.8541666666666665</v>
      </c>
      <c r="BG209" s="957">
        <f t="shared" si="378"/>
        <v>3.8541666666666665</v>
      </c>
      <c r="BH209" s="957">
        <f t="shared" si="378"/>
        <v>3.8541666666666665</v>
      </c>
      <c r="BI209" s="957">
        <f t="shared" si="378"/>
        <v>0.39466666666666667</v>
      </c>
      <c r="BJ209" s="957">
        <f t="shared" si="378"/>
        <v>0</v>
      </c>
      <c r="BK209" s="957">
        <f t="shared" si="378"/>
        <v>0</v>
      </c>
      <c r="BL209" s="948">
        <f t="shared" si="379"/>
        <v>251.484375</v>
      </c>
      <c r="BM209" s="948">
        <f t="shared" si="379"/>
        <v>167.65625</v>
      </c>
      <c r="BN209" s="948">
        <f t="shared" si="379"/>
        <v>197.33333333333334</v>
      </c>
      <c r="BO209" s="948">
        <f t="shared" si="379"/>
        <v>197.33333333333334</v>
      </c>
      <c r="BP209" s="948">
        <f t="shared" si="379"/>
        <v>251.484375</v>
      </c>
      <c r="BQ209" s="948">
        <f t="shared" si="379"/>
        <v>167.65625</v>
      </c>
      <c r="BR209" s="948">
        <f t="shared" si="379"/>
        <v>177.20691199999996</v>
      </c>
      <c r="BS209" s="948">
        <f t="shared" si="380"/>
        <v>0</v>
      </c>
      <c r="BT209" s="955">
        <f t="shared" si="381"/>
        <v>246.8758453548086</v>
      </c>
    </row>
    <row r="210" spans="1:72">
      <c r="A210" s="952">
        <v>5</v>
      </c>
      <c r="B210" s="952" t="s">
        <v>1173</v>
      </c>
      <c r="C210" s="950" t="s">
        <v>1174</v>
      </c>
      <c r="D210" s="950">
        <v>1</v>
      </c>
      <c r="E210" s="950">
        <v>1</v>
      </c>
      <c r="F210" s="948">
        <v>4.75</v>
      </c>
      <c r="G210" s="948">
        <v>0.25</v>
      </c>
      <c r="H210" s="948">
        <v>0.6</v>
      </c>
      <c r="I210" s="948">
        <v>0.12</v>
      </c>
      <c r="J210" s="948">
        <f t="shared" si="355"/>
        <v>0.48</v>
      </c>
      <c r="K210" s="948">
        <f t="shared" si="382"/>
        <v>0.56999999999999995</v>
      </c>
      <c r="L210" s="948">
        <f t="shared" si="383"/>
        <v>4.5599999999999996</v>
      </c>
      <c r="M210" s="952"/>
      <c r="N210" s="950">
        <v>16</v>
      </c>
      <c r="O210" s="950">
        <v>16</v>
      </c>
      <c r="P210" s="950">
        <v>16</v>
      </c>
      <c r="Q210" s="950">
        <v>16</v>
      </c>
      <c r="R210" s="950">
        <v>16</v>
      </c>
      <c r="S210" s="950">
        <v>16</v>
      </c>
      <c r="T210" s="950">
        <v>8</v>
      </c>
      <c r="U210" s="950"/>
      <c r="V210" s="950"/>
      <c r="W210" s="950">
        <v>200</v>
      </c>
      <c r="X210" s="950">
        <v>100</v>
      </c>
      <c r="Y210" s="950">
        <v>100</v>
      </c>
      <c r="Z210" s="950">
        <v>9</v>
      </c>
      <c r="AA210" s="950">
        <v>6</v>
      </c>
      <c r="AB210" s="950">
        <v>4</v>
      </c>
      <c r="AC210" s="950">
        <v>4</v>
      </c>
      <c r="AD210" s="950">
        <v>9</v>
      </c>
      <c r="AE210" s="950">
        <v>6</v>
      </c>
      <c r="AF210" s="955">
        <f t="shared" si="357"/>
        <v>6.9375</v>
      </c>
      <c r="AG210" s="955">
        <f t="shared" si="358"/>
        <v>24.75</v>
      </c>
      <c r="AH210" s="955">
        <f t="shared" si="359"/>
        <v>12.875</v>
      </c>
      <c r="AI210" s="955">
        <v>0</v>
      </c>
      <c r="AJ210" s="955">
        <v>0</v>
      </c>
      <c r="AK210" s="948">
        <f t="shared" si="360"/>
        <v>1.9875</v>
      </c>
      <c r="AL210" s="948">
        <f t="shared" si="361"/>
        <v>1.9875</v>
      </c>
      <c r="AM210" s="948">
        <f t="shared" si="362"/>
        <v>2.887</v>
      </c>
      <c r="AN210" s="948">
        <f t="shared" si="363"/>
        <v>2.887</v>
      </c>
      <c r="AO210" s="948">
        <f t="shared" si="364"/>
        <v>1.9875</v>
      </c>
      <c r="AP210" s="948">
        <f t="shared" si="365"/>
        <v>1.9875</v>
      </c>
      <c r="AQ210" s="948">
        <f t="shared" si="366"/>
        <v>1.508</v>
      </c>
      <c r="AR210" s="948">
        <f t="shared" si="367"/>
        <v>0</v>
      </c>
      <c r="AS210" s="948">
        <f t="shared" si="368"/>
        <v>0</v>
      </c>
      <c r="AT210" s="948">
        <f t="shared" si="369"/>
        <v>17.887499999999999</v>
      </c>
      <c r="AU210" s="948">
        <f t="shared" si="370"/>
        <v>11.925000000000001</v>
      </c>
      <c r="AV210" s="948">
        <f t="shared" si="371"/>
        <v>11.548</v>
      </c>
      <c r="AW210" s="948">
        <f t="shared" si="372"/>
        <v>11.548</v>
      </c>
      <c r="AX210" s="948">
        <f t="shared" si="373"/>
        <v>17.887499999999999</v>
      </c>
      <c r="AY210" s="948">
        <f t="shared" si="374"/>
        <v>11.925000000000001</v>
      </c>
      <c r="AZ210" s="948">
        <f t="shared" si="375"/>
        <v>67.200249999999997</v>
      </c>
      <c r="BA210" s="948">
        <f t="shared" si="376"/>
        <v>0</v>
      </c>
      <c r="BB210" s="948">
        <f t="shared" si="377"/>
        <v>0</v>
      </c>
      <c r="BC210" s="957">
        <f t="shared" si="378"/>
        <v>1.5786666666666667</v>
      </c>
      <c r="BD210" s="957">
        <f t="shared" si="378"/>
        <v>1.5786666666666667</v>
      </c>
      <c r="BE210" s="957">
        <f t="shared" si="378"/>
        <v>1.5786666666666667</v>
      </c>
      <c r="BF210" s="957">
        <f t="shared" si="378"/>
        <v>1.5786666666666667</v>
      </c>
      <c r="BG210" s="957">
        <f t="shared" si="378"/>
        <v>1.5786666666666667</v>
      </c>
      <c r="BH210" s="957">
        <f t="shared" si="378"/>
        <v>1.5786666666666667</v>
      </c>
      <c r="BI210" s="957">
        <f t="shared" si="378"/>
        <v>0.39466666666666667</v>
      </c>
      <c r="BJ210" s="957">
        <f t="shared" si="378"/>
        <v>0</v>
      </c>
      <c r="BK210" s="957">
        <f t="shared" si="378"/>
        <v>0</v>
      </c>
      <c r="BL210" s="948">
        <f t="shared" si="379"/>
        <v>28.238399999999999</v>
      </c>
      <c r="BM210" s="948">
        <f t="shared" si="379"/>
        <v>18.825600000000001</v>
      </c>
      <c r="BN210" s="948">
        <f t="shared" si="379"/>
        <v>18.230442666666665</v>
      </c>
      <c r="BO210" s="948">
        <f t="shared" si="379"/>
        <v>18.230442666666665</v>
      </c>
      <c r="BP210" s="948">
        <f t="shared" si="379"/>
        <v>28.238399999999999</v>
      </c>
      <c r="BQ210" s="948">
        <f t="shared" si="379"/>
        <v>18.825600000000001</v>
      </c>
      <c r="BR210" s="948">
        <f t="shared" si="379"/>
        <v>26.521698666666666</v>
      </c>
      <c r="BS210" s="948">
        <f t="shared" si="380"/>
        <v>0</v>
      </c>
      <c r="BT210" s="955">
        <f t="shared" si="381"/>
        <v>275.63260350877198</v>
      </c>
    </row>
    <row r="211" spans="1:72">
      <c r="A211" s="952">
        <v>6</v>
      </c>
      <c r="B211" s="952" t="s">
        <v>1175</v>
      </c>
      <c r="C211" s="950" t="s">
        <v>1176</v>
      </c>
      <c r="D211" s="950">
        <v>1</v>
      </c>
      <c r="E211" s="950">
        <v>1</v>
      </c>
      <c r="F211" s="948">
        <v>35.4</v>
      </c>
      <c r="G211" s="948">
        <v>0.25</v>
      </c>
      <c r="H211" s="948">
        <v>0.6</v>
      </c>
      <c r="I211" s="948">
        <v>0.12</v>
      </c>
      <c r="J211" s="948">
        <f t="shared" si="355"/>
        <v>0.48</v>
      </c>
      <c r="K211" s="948">
        <f t="shared" si="382"/>
        <v>4.2479999999999993</v>
      </c>
      <c r="L211" s="948">
        <f t="shared" si="383"/>
        <v>33.983999999999995</v>
      </c>
      <c r="M211" s="952"/>
      <c r="N211" s="950">
        <v>16</v>
      </c>
      <c r="O211" s="950">
        <v>16</v>
      </c>
      <c r="P211" s="950">
        <v>16</v>
      </c>
      <c r="Q211" s="950">
        <v>16</v>
      </c>
      <c r="R211" s="950">
        <v>16</v>
      </c>
      <c r="S211" s="950">
        <v>16</v>
      </c>
      <c r="T211" s="950">
        <v>8</v>
      </c>
      <c r="U211" s="950"/>
      <c r="V211" s="950"/>
      <c r="W211" s="950">
        <v>200</v>
      </c>
      <c r="X211" s="950">
        <v>100</v>
      </c>
      <c r="Y211" s="950">
        <v>100</v>
      </c>
      <c r="Z211" s="950">
        <v>9</v>
      </c>
      <c r="AA211" s="950">
        <v>6</v>
      </c>
      <c r="AB211" s="950">
        <v>4</v>
      </c>
      <c r="AC211" s="950">
        <v>4</v>
      </c>
      <c r="AD211" s="950">
        <v>9</v>
      </c>
      <c r="AE211" s="950">
        <v>6</v>
      </c>
      <c r="AF211" s="955">
        <f t="shared" si="357"/>
        <v>45.249999999999993</v>
      </c>
      <c r="AG211" s="955">
        <f t="shared" si="358"/>
        <v>177.99999999999997</v>
      </c>
      <c r="AH211" s="955">
        <f t="shared" si="359"/>
        <v>89.499999999999986</v>
      </c>
      <c r="AI211" s="955">
        <v>0</v>
      </c>
      <c r="AJ211" s="955">
        <v>0</v>
      </c>
      <c r="AK211" s="948">
        <f t="shared" si="360"/>
        <v>9.65</v>
      </c>
      <c r="AL211" s="948">
        <f t="shared" si="361"/>
        <v>9.65</v>
      </c>
      <c r="AM211" s="948">
        <f t="shared" si="362"/>
        <v>18.212</v>
      </c>
      <c r="AN211" s="948">
        <f t="shared" si="363"/>
        <v>18.212</v>
      </c>
      <c r="AO211" s="948">
        <f t="shared" si="364"/>
        <v>9.65</v>
      </c>
      <c r="AP211" s="948">
        <f t="shared" si="365"/>
        <v>9.65</v>
      </c>
      <c r="AQ211" s="948">
        <f t="shared" si="366"/>
        <v>1.508</v>
      </c>
      <c r="AR211" s="948">
        <f t="shared" si="367"/>
        <v>0</v>
      </c>
      <c r="AS211" s="948">
        <f t="shared" si="368"/>
        <v>0</v>
      </c>
      <c r="AT211" s="948">
        <f t="shared" si="369"/>
        <v>86.850000000000009</v>
      </c>
      <c r="AU211" s="948">
        <f t="shared" si="370"/>
        <v>57.900000000000006</v>
      </c>
      <c r="AV211" s="948">
        <f t="shared" si="371"/>
        <v>72.847999999999999</v>
      </c>
      <c r="AW211" s="948">
        <f t="shared" si="372"/>
        <v>72.847999999999999</v>
      </c>
      <c r="AX211" s="948">
        <f t="shared" si="373"/>
        <v>86.850000000000009</v>
      </c>
      <c r="AY211" s="948">
        <f t="shared" si="374"/>
        <v>57.900000000000006</v>
      </c>
      <c r="AZ211" s="948">
        <f t="shared" si="375"/>
        <v>471.6269999999999</v>
      </c>
      <c r="BA211" s="948">
        <f t="shared" si="376"/>
        <v>0</v>
      </c>
      <c r="BB211" s="948">
        <f t="shared" si="377"/>
        <v>0</v>
      </c>
      <c r="BC211" s="957">
        <f t="shared" si="378"/>
        <v>1.5786666666666667</v>
      </c>
      <c r="BD211" s="957">
        <f t="shared" si="378"/>
        <v>1.5786666666666667</v>
      </c>
      <c r="BE211" s="957">
        <f t="shared" si="378"/>
        <v>1.5786666666666667</v>
      </c>
      <c r="BF211" s="957">
        <f t="shared" si="378"/>
        <v>1.5786666666666667</v>
      </c>
      <c r="BG211" s="957">
        <f t="shared" si="378"/>
        <v>1.5786666666666667</v>
      </c>
      <c r="BH211" s="957">
        <f t="shared" si="378"/>
        <v>1.5786666666666667</v>
      </c>
      <c r="BI211" s="957">
        <f t="shared" si="378"/>
        <v>0.39466666666666667</v>
      </c>
      <c r="BJ211" s="957">
        <f t="shared" si="378"/>
        <v>0</v>
      </c>
      <c r="BK211" s="957">
        <f t="shared" si="378"/>
        <v>0</v>
      </c>
      <c r="BL211" s="948">
        <f t="shared" si="379"/>
        <v>137.10720000000001</v>
      </c>
      <c r="BM211" s="948">
        <f t="shared" si="379"/>
        <v>91.404800000000009</v>
      </c>
      <c r="BN211" s="948">
        <f t="shared" si="379"/>
        <v>115.00270933333333</v>
      </c>
      <c r="BO211" s="948">
        <f t="shared" si="379"/>
        <v>115.00270933333333</v>
      </c>
      <c r="BP211" s="948">
        <f t="shared" si="379"/>
        <v>137.10720000000001</v>
      </c>
      <c r="BQ211" s="948">
        <f t="shared" si="379"/>
        <v>91.404800000000009</v>
      </c>
      <c r="BR211" s="948">
        <f t="shared" si="379"/>
        <v>186.13545599999995</v>
      </c>
      <c r="BS211" s="948">
        <f t="shared" si="380"/>
        <v>0</v>
      </c>
      <c r="BT211" s="955">
        <f t="shared" si="381"/>
        <v>205.54728688010044</v>
      </c>
    </row>
    <row r="212" spans="1:72">
      <c r="A212" s="952">
        <v>7</v>
      </c>
      <c r="B212" s="952" t="s">
        <v>1177</v>
      </c>
      <c r="C212" s="950" t="s">
        <v>1178</v>
      </c>
      <c r="D212" s="950">
        <v>1</v>
      </c>
      <c r="E212" s="950">
        <v>1</v>
      </c>
      <c r="F212" s="948">
        <v>5.4</v>
      </c>
      <c r="G212" s="948">
        <v>0.25</v>
      </c>
      <c r="H212" s="948">
        <v>0.6</v>
      </c>
      <c r="I212" s="948">
        <v>0.12</v>
      </c>
      <c r="J212" s="948">
        <v>0.48</v>
      </c>
      <c r="K212" s="948">
        <v>0.64800000000000002</v>
      </c>
      <c r="L212" s="948">
        <v>5.1840000000000002</v>
      </c>
      <c r="M212" s="952"/>
      <c r="N212" s="950">
        <v>16</v>
      </c>
      <c r="O212" s="950">
        <v>16</v>
      </c>
      <c r="P212" s="950">
        <v>16</v>
      </c>
      <c r="Q212" s="950">
        <v>16</v>
      </c>
      <c r="R212" s="950">
        <v>16</v>
      </c>
      <c r="S212" s="950">
        <v>16</v>
      </c>
      <c r="T212" s="950">
        <v>8</v>
      </c>
      <c r="U212" s="950"/>
      <c r="V212" s="950"/>
      <c r="W212" s="950">
        <v>200</v>
      </c>
      <c r="X212" s="950">
        <v>100</v>
      </c>
      <c r="Y212" s="950">
        <v>100</v>
      </c>
      <c r="Z212" s="950">
        <v>9</v>
      </c>
      <c r="AA212" s="950">
        <v>6</v>
      </c>
      <c r="AB212" s="950">
        <v>4</v>
      </c>
      <c r="AC212" s="950">
        <v>4</v>
      </c>
      <c r="AD212" s="950">
        <v>9</v>
      </c>
      <c r="AE212" s="950">
        <v>6</v>
      </c>
      <c r="AF212" s="955">
        <v>7.75</v>
      </c>
      <c r="AG212" s="955">
        <v>28</v>
      </c>
      <c r="AH212" s="955">
        <v>14.5</v>
      </c>
      <c r="AI212" s="955">
        <v>0</v>
      </c>
      <c r="AJ212" s="955">
        <v>0</v>
      </c>
      <c r="AK212" s="948">
        <v>2.1500000000000004</v>
      </c>
      <c r="AL212" s="948">
        <v>2.1500000000000004</v>
      </c>
      <c r="AM212" s="948">
        <v>3.2120000000000002</v>
      </c>
      <c r="AN212" s="948">
        <v>3.2120000000000002</v>
      </c>
      <c r="AO212" s="948">
        <v>2.1500000000000004</v>
      </c>
      <c r="AP212" s="948">
        <v>2.1500000000000004</v>
      </c>
      <c r="AQ212" s="948">
        <v>1.508</v>
      </c>
      <c r="AR212" s="948">
        <v>0</v>
      </c>
      <c r="AS212" s="948">
        <v>0</v>
      </c>
      <c r="AT212" s="948">
        <v>19.350000000000001</v>
      </c>
      <c r="AU212" s="948">
        <v>12.900000000000002</v>
      </c>
      <c r="AV212" s="948">
        <v>12.848000000000001</v>
      </c>
      <c r="AW212" s="948">
        <v>12.848000000000001</v>
      </c>
      <c r="AX212" s="948">
        <v>19.350000000000001</v>
      </c>
      <c r="AY212" s="948">
        <v>12.900000000000002</v>
      </c>
      <c r="AZ212" s="948">
        <v>75.777000000000001</v>
      </c>
      <c r="BA212" s="948">
        <v>0</v>
      </c>
      <c r="BB212" s="948">
        <v>0</v>
      </c>
      <c r="BC212" s="957">
        <v>1.5786666666666667</v>
      </c>
      <c r="BD212" s="957">
        <v>1.5786666666666667</v>
      </c>
      <c r="BE212" s="957">
        <v>1.5786666666666667</v>
      </c>
      <c r="BF212" s="957">
        <v>1.5786666666666667</v>
      </c>
      <c r="BG212" s="957">
        <v>1.5786666666666667</v>
      </c>
      <c r="BH212" s="957">
        <v>1.5786666666666667</v>
      </c>
      <c r="BI212" s="957">
        <v>0.39466666666666667</v>
      </c>
      <c r="BJ212" s="957">
        <v>0</v>
      </c>
      <c r="BK212" s="957">
        <v>0</v>
      </c>
      <c r="BL212" s="948">
        <v>30.547200000000004</v>
      </c>
      <c r="BM212" s="948">
        <v>20.364800000000002</v>
      </c>
      <c r="BN212" s="948">
        <v>20.282709333333333</v>
      </c>
      <c r="BO212" s="948">
        <v>20.282709333333333</v>
      </c>
      <c r="BP212" s="948">
        <v>30.547200000000004</v>
      </c>
      <c r="BQ212" s="948">
        <v>20.364800000000002</v>
      </c>
      <c r="BR212" s="948">
        <v>29.906656000000002</v>
      </c>
      <c r="BS212" s="948">
        <v>0</v>
      </c>
      <c r="BT212" s="955">
        <v>265.88900411522633</v>
      </c>
    </row>
    <row r="213" spans="1:72">
      <c r="A213" s="952">
        <v>8</v>
      </c>
      <c r="B213" s="952" t="s">
        <v>1179</v>
      </c>
      <c r="C213" s="950" t="s">
        <v>1125</v>
      </c>
      <c r="D213" s="950">
        <v>1</v>
      </c>
      <c r="E213" s="950">
        <v>1</v>
      </c>
      <c r="F213" s="948">
        <v>5.4</v>
      </c>
      <c r="G213" s="948">
        <v>0.25</v>
      </c>
      <c r="H213" s="948">
        <v>0.6</v>
      </c>
      <c r="I213" s="948">
        <v>0.12</v>
      </c>
      <c r="J213" s="948">
        <f t="shared" ref="J213:J214" si="384">H213-I213</f>
        <v>0.48</v>
      </c>
      <c r="K213" s="948">
        <f t="shared" ref="K213:K214" si="385">F213*G213*J213*D213*E213</f>
        <v>0.64800000000000002</v>
      </c>
      <c r="L213" s="948">
        <f t="shared" ref="L213:L214" si="386">(2*J213)*F213*E213*D213</f>
        <v>5.1840000000000002</v>
      </c>
      <c r="M213" s="952"/>
      <c r="N213" s="950">
        <v>16</v>
      </c>
      <c r="O213" s="950">
        <v>16</v>
      </c>
      <c r="P213" s="950">
        <v>16</v>
      </c>
      <c r="Q213" s="950">
        <v>16</v>
      </c>
      <c r="R213" s="950">
        <v>16</v>
      </c>
      <c r="S213" s="950">
        <v>16</v>
      </c>
      <c r="T213" s="950">
        <v>8</v>
      </c>
      <c r="U213" s="950"/>
      <c r="V213" s="950"/>
      <c r="W213" s="950">
        <v>200</v>
      </c>
      <c r="X213" s="950">
        <v>100</v>
      </c>
      <c r="Y213" s="950">
        <v>100</v>
      </c>
      <c r="Z213" s="950">
        <v>9</v>
      </c>
      <c r="AA213" s="950">
        <v>6</v>
      </c>
      <c r="AB213" s="950">
        <v>4</v>
      </c>
      <c r="AC213" s="950">
        <v>4</v>
      </c>
      <c r="AD213" s="950">
        <v>9</v>
      </c>
      <c r="AE213" s="950">
        <v>6</v>
      </c>
      <c r="AF213" s="955">
        <f t="shared" ref="AF213:AF214" si="387">(F213/4)/(W213/1000)+1</f>
        <v>7.75</v>
      </c>
      <c r="AG213" s="955">
        <f t="shared" ref="AG213:AG214" si="388">(F213/2)/(X213/1000)+1</f>
        <v>28</v>
      </c>
      <c r="AH213" s="955">
        <f t="shared" ref="AH213:AH214" si="389">(F213/4)/(Y213/1000)+1</f>
        <v>14.5</v>
      </c>
      <c r="AI213" s="955">
        <v>0</v>
      </c>
      <c r="AJ213" s="955">
        <v>0</v>
      </c>
      <c r="AK213" s="948">
        <f t="shared" ref="AK213:AK214" si="390">(F213/4)+(20*N213/1000)+(10*N213/1000)+(8*N213/1000)+(6*2*N213/1000)</f>
        <v>2.1500000000000004</v>
      </c>
      <c r="AL213" s="948">
        <f t="shared" ref="AL213:AL214" si="391">(F213/4)+(20*O213/1000)+(10*O213/1000)+(8*O213/1000)+(6*2*O213/1000)</f>
        <v>2.1500000000000004</v>
      </c>
      <c r="AM213" s="948">
        <f t="shared" ref="AM213:AM214" si="392">(F213/2)+(20*P213/1000)+(6*2*P213/1000)</f>
        <v>3.2120000000000002</v>
      </c>
      <c r="AN213" s="948">
        <f t="shared" ref="AN213:AN214" si="393">(F213/2)+(20*Q213/1000)+(6*2*Q213/1000)</f>
        <v>3.2120000000000002</v>
      </c>
      <c r="AO213" s="948">
        <f t="shared" ref="AO213:AO214" si="394">(F213/4)+(20*R213/1000)+(10*R213/1000)+(8*R213/1000)+(6*2*R213/1000)</f>
        <v>2.1500000000000004</v>
      </c>
      <c r="AP213" s="948">
        <f t="shared" ref="AP213:AP214" si="395">(F213/4)+(20*S213/1000)+(10*S213/1000)+(8*S213/1000)+(6*2*S213/1000)</f>
        <v>2.1500000000000004</v>
      </c>
      <c r="AQ213" s="948">
        <f t="shared" ref="AQ213:AQ214" si="396">(2*G213)+(2*H213)+(6*T213/1000)-(8*0.03)</f>
        <v>1.508</v>
      </c>
      <c r="AR213" s="948">
        <f t="shared" ref="AR213:AR214" si="397">((H213)+(2*6*U213/1000)-(2*0.03))*AI213</f>
        <v>0</v>
      </c>
      <c r="AS213" s="948">
        <f t="shared" ref="AS213:AS214" si="398">((G213)+(2*6*V213/1000)-(2*0.03))*AJ213</f>
        <v>0</v>
      </c>
      <c r="AT213" s="948">
        <f t="shared" ref="AT213:AT214" si="399">AK213*Z213*E213*D213</f>
        <v>19.350000000000001</v>
      </c>
      <c r="AU213" s="948">
        <f t="shared" ref="AU213:AU214" si="400">AL213*AA213*E213*D213</f>
        <v>12.900000000000002</v>
      </c>
      <c r="AV213" s="948">
        <f t="shared" ref="AV213:AV214" si="401">AM213*AB213*E213*D213</f>
        <v>12.848000000000001</v>
      </c>
      <c r="AW213" s="948">
        <f t="shared" ref="AW213:AW214" si="402">AN213*AC213*E213*D213</f>
        <v>12.848000000000001</v>
      </c>
      <c r="AX213" s="948">
        <f t="shared" ref="AX213:AX214" si="403">AO213*AD213*E213*D213</f>
        <v>19.350000000000001</v>
      </c>
      <c r="AY213" s="948">
        <f t="shared" ref="AY213:AY214" si="404">AP213*AE213*E213*D213</f>
        <v>12.900000000000002</v>
      </c>
      <c r="AZ213" s="948">
        <f t="shared" ref="AZ213:AZ214" si="405">AQ213*(AF213+AG213+AH213)*E213*D213</f>
        <v>75.777000000000001</v>
      </c>
      <c r="BA213" s="948">
        <f t="shared" ref="BA213:BA214" si="406">AR213*(AF213+AG213+AH213)*E213*D213</f>
        <v>0</v>
      </c>
      <c r="BB213" s="948">
        <f t="shared" ref="BB213:BB214" si="407">AS213*(AF213+AG213+AH213)*E213*D213</f>
        <v>0</v>
      </c>
      <c r="BC213" s="957">
        <f t="shared" ref="BC213:BK214" si="408">N213*N213*0.074/12</f>
        <v>1.5786666666666667</v>
      </c>
      <c r="BD213" s="957">
        <f t="shared" si="408"/>
        <v>1.5786666666666667</v>
      </c>
      <c r="BE213" s="957">
        <f t="shared" si="408"/>
        <v>1.5786666666666667</v>
      </c>
      <c r="BF213" s="957">
        <f t="shared" si="408"/>
        <v>1.5786666666666667</v>
      </c>
      <c r="BG213" s="957">
        <f t="shared" si="408"/>
        <v>1.5786666666666667</v>
      </c>
      <c r="BH213" s="957">
        <f t="shared" si="408"/>
        <v>1.5786666666666667</v>
      </c>
      <c r="BI213" s="957">
        <f t="shared" si="408"/>
        <v>0.39466666666666667</v>
      </c>
      <c r="BJ213" s="957">
        <f t="shared" si="408"/>
        <v>0</v>
      </c>
      <c r="BK213" s="957">
        <f t="shared" si="408"/>
        <v>0</v>
      </c>
      <c r="BL213" s="948">
        <f t="shared" ref="BL213:BR214" si="409">AT213*BC213</f>
        <v>30.547200000000004</v>
      </c>
      <c r="BM213" s="948">
        <f t="shared" si="409"/>
        <v>20.364800000000002</v>
      </c>
      <c r="BN213" s="948">
        <f t="shared" si="409"/>
        <v>20.282709333333333</v>
      </c>
      <c r="BO213" s="948">
        <f t="shared" si="409"/>
        <v>20.282709333333333</v>
      </c>
      <c r="BP213" s="948">
        <f t="shared" si="409"/>
        <v>30.547200000000004</v>
      </c>
      <c r="BQ213" s="948">
        <f t="shared" si="409"/>
        <v>20.364800000000002</v>
      </c>
      <c r="BR213" s="948">
        <f t="shared" si="409"/>
        <v>29.906656000000002</v>
      </c>
      <c r="BS213" s="948">
        <f>BB213*BK213</f>
        <v>0</v>
      </c>
      <c r="BT213" s="955">
        <f>SUM(BL213:BS213)/K213</f>
        <v>265.88900411522633</v>
      </c>
    </row>
    <row r="214" spans="1:72">
      <c r="A214" s="952">
        <v>9</v>
      </c>
      <c r="B214" s="952" t="s">
        <v>1180</v>
      </c>
      <c r="C214" s="950" t="s">
        <v>1127</v>
      </c>
      <c r="D214" s="950">
        <v>1</v>
      </c>
      <c r="E214" s="950">
        <v>1</v>
      </c>
      <c r="F214" s="948">
        <v>5.4</v>
      </c>
      <c r="G214" s="948">
        <v>0.25</v>
      </c>
      <c r="H214" s="948">
        <v>0.6</v>
      </c>
      <c r="I214" s="948">
        <v>0.12</v>
      </c>
      <c r="J214" s="948">
        <f t="shared" si="384"/>
        <v>0.48</v>
      </c>
      <c r="K214" s="948">
        <f t="shared" si="385"/>
        <v>0.64800000000000002</v>
      </c>
      <c r="L214" s="948">
        <f t="shared" si="386"/>
        <v>5.1840000000000002</v>
      </c>
      <c r="M214" s="952"/>
      <c r="N214" s="950">
        <v>16</v>
      </c>
      <c r="O214" s="950">
        <v>16</v>
      </c>
      <c r="P214" s="950">
        <v>16</v>
      </c>
      <c r="Q214" s="950">
        <v>16</v>
      </c>
      <c r="R214" s="950">
        <v>16</v>
      </c>
      <c r="S214" s="950">
        <v>16</v>
      </c>
      <c r="T214" s="950">
        <v>8</v>
      </c>
      <c r="U214" s="950"/>
      <c r="V214" s="950"/>
      <c r="W214" s="950">
        <v>200</v>
      </c>
      <c r="X214" s="950">
        <v>100</v>
      </c>
      <c r="Y214" s="950">
        <v>100</v>
      </c>
      <c r="Z214" s="950">
        <v>9</v>
      </c>
      <c r="AA214" s="950">
        <v>6</v>
      </c>
      <c r="AB214" s="950">
        <v>4</v>
      </c>
      <c r="AC214" s="950">
        <v>4</v>
      </c>
      <c r="AD214" s="950">
        <v>9</v>
      </c>
      <c r="AE214" s="950">
        <v>6</v>
      </c>
      <c r="AF214" s="955">
        <f t="shared" si="387"/>
        <v>7.75</v>
      </c>
      <c r="AG214" s="955">
        <f t="shared" si="388"/>
        <v>28</v>
      </c>
      <c r="AH214" s="955">
        <f t="shared" si="389"/>
        <v>14.5</v>
      </c>
      <c r="AI214" s="955">
        <v>0</v>
      </c>
      <c r="AJ214" s="955">
        <v>0</v>
      </c>
      <c r="AK214" s="948">
        <f t="shared" si="390"/>
        <v>2.1500000000000004</v>
      </c>
      <c r="AL214" s="948">
        <f t="shared" si="391"/>
        <v>2.1500000000000004</v>
      </c>
      <c r="AM214" s="948">
        <f t="shared" si="392"/>
        <v>3.2120000000000002</v>
      </c>
      <c r="AN214" s="948">
        <f t="shared" si="393"/>
        <v>3.2120000000000002</v>
      </c>
      <c r="AO214" s="948">
        <f t="shared" si="394"/>
        <v>2.1500000000000004</v>
      </c>
      <c r="AP214" s="948">
        <f t="shared" si="395"/>
        <v>2.1500000000000004</v>
      </c>
      <c r="AQ214" s="948">
        <f t="shared" si="396"/>
        <v>1.508</v>
      </c>
      <c r="AR214" s="948">
        <f t="shared" si="397"/>
        <v>0</v>
      </c>
      <c r="AS214" s="948">
        <f t="shared" si="398"/>
        <v>0</v>
      </c>
      <c r="AT214" s="948">
        <f t="shared" si="399"/>
        <v>19.350000000000001</v>
      </c>
      <c r="AU214" s="948">
        <f t="shared" si="400"/>
        <v>12.900000000000002</v>
      </c>
      <c r="AV214" s="948">
        <f t="shared" si="401"/>
        <v>12.848000000000001</v>
      </c>
      <c r="AW214" s="948">
        <f t="shared" si="402"/>
        <v>12.848000000000001</v>
      </c>
      <c r="AX214" s="948">
        <f t="shared" si="403"/>
        <v>19.350000000000001</v>
      </c>
      <c r="AY214" s="948">
        <f t="shared" si="404"/>
        <v>12.900000000000002</v>
      </c>
      <c r="AZ214" s="948">
        <f t="shared" si="405"/>
        <v>75.777000000000001</v>
      </c>
      <c r="BA214" s="948">
        <f t="shared" si="406"/>
        <v>0</v>
      </c>
      <c r="BB214" s="948">
        <f t="shared" si="407"/>
        <v>0</v>
      </c>
      <c r="BC214" s="957">
        <f t="shared" si="408"/>
        <v>1.5786666666666667</v>
      </c>
      <c r="BD214" s="957">
        <f t="shared" si="408"/>
        <v>1.5786666666666667</v>
      </c>
      <c r="BE214" s="957">
        <f t="shared" si="408"/>
        <v>1.5786666666666667</v>
      </c>
      <c r="BF214" s="957">
        <f t="shared" si="408"/>
        <v>1.5786666666666667</v>
      </c>
      <c r="BG214" s="957">
        <f t="shared" si="408"/>
        <v>1.5786666666666667</v>
      </c>
      <c r="BH214" s="957">
        <f t="shared" si="408"/>
        <v>1.5786666666666667</v>
      </c>
      <c r="BI214" s="957">
        <f t="shared" si="408"/>
        <v>0.39466666666666667</v>
      </c>
      <c r="BJ214" s="957">
        <f t="shared" si="408"/>
        <v>0</v>
      </c>
      <c r="BK214" s="957">
        <f t="shared" si="408"/>
        <v>0</v>
      </c>
      <c r="BL214" s="948">
        <f t="shared" si="409"/>
        <v>30.547200000000004</v>
      </c>
      <c r="BM214" s="948">
        <f t="shared" si="409"/>
        <v>20.364800000000002</v>
      </c>
      <c r="BN214" s="948">
        <f t="shared" si="409"/>
        <v>20.282709333333333</v>
      </c>
      <c r="BO214" s="948">
        <f t="shared" si="409"/>
        <v>20.282709333333333</v>
      </c>
      <c r="BP214" s="948">
        <f t="shared" si="409"/>
        <v>30.547200000000004</v>
      </c>
      <c r="BQ214" s="948">
        <f t="shared" si="409"/>
        <v>20.364800000000002</v>
      </c>
      <c r="BR214" s="948">
        <f t="shared" si="409"/>
        <v>29.906656000000002</v>
      </c>
      <c r="BS214" s="948">
        <f>BB214*BK214</f>
        <v>0</v>
      </c>
      <c r="BT214" s="955">
        <f>SUM(BL214:BS214)/K214</f>
        <v>265.88900411522633</v>
      </c>
    </row>
    <row r="215" spans="1:72">
      <c r="A215" s="952"/>
      <c r="B215" s="952"/>
      <c r="C215" s="950"/>
      <c r="D215" s="950"/>
      <c r="E215" s="950"/>
      <c r="F215" s="948"/>
      <c r="G215" s="948"/>
      <c r="H215" s="948"/>
      <c r="I215" s="948"/>
      <c r="J215" s="948"/>
      <c r="K215" s="948">
        <f>SUM(K199:K214)</f>
        <v>67.325999999999993</v>
      </c>
      <c r="L215" s="948">
        <f>SUM(L199:L214)</f>
        <v>504.77600000000012</v>
      </c>
      <c r="M215" s="952"/>
      <c r="N215" s="950"/>
      <c r="O215" s="950"/>
      <c r="P215" s="950"/>
      <c r="Q215" s="950"/>
      <c r="R215" s="950"/>
      <c r="S215" s="950"/>
      <c r="T215" s="950"/>
      <c r="U215" s="950"/>
      <c r="V215" s="950"/>
      <c r="W215" s="950"/>
      <c r="X215" s="950"/>
      <c r="Y215" s="950"/>
      <c r="Z215" s="950"/>
      <c r="AA215" s="950"/>
      <c r="AB215" s="950"/>
      <c r="AC215" s="950"/>
      <c r="AD215" s="950"/>
      <c r="AE215" s="950"/>
      <c r="AF215" s="955"/>
      <c r="AG215" s="955"/>
      <c r="AH215" s="955"/>
      <c r="AI215" s="955"/>
      <c r="AJ215" s="955"/>
      <c r="AK215" s="948"/>
      <c r="AL215" s="948"/>
      <c r="AM215" s="948"/>
      <c r="AN215" s="948"/>
      <c r="AO215" s="948"/>
      <c r="AP215" s="948"/>
      <c r="AQ215" s="948"/>
      <c r="AR215" s="948"/>
      <c r="AS215" s="948"/>
      <c r="AT215" s="948"/>
      <c r="AU215" s="948"/>
      <c r="AV215" s="948"/>
      <c r="AW215" s="948"/>
      <c r="AX215" s="948"/>
      <c r="AY215" s="948"/>
      <c r="AZ215" s="948"/>
      <c r="BA215" s="948"/>
      <c r="BB215" s="948"/>
      <c r="BC215" s="957"/>
      <c r="BD215" s="957"/>
      <c r="BE215" s="957"/>
      <c r="BF215" s="957"/>
      <c r="BG215" s="957"/>
      <c r="BH215" s="957"/>
      <c r="BI215" s="957"/>
      <c r="BJ215" s="957"/>
      <c r="BK215" s="957"/>
      <c r="BL215" s="948"/>
      <c r="BM215" s="948"/>
      <c r="BN215" s="948"/>
      <c r="BO215" s="948"/>
      <c r="BP215" s="948"/>
      <c r="BQ215" s="948"/>
      <c r="BR215" s="948"/>
      <c r="BS215" s="948"/>
      <c r="BT215" s="955"/>
    </row>
    <row r="216" spans="1:72">
      <c r="A216" s="949" t="s">
        <v>66</v>
      </c>
      <c r="B216" s="949" t="s">
        <v>1050</v>
      </c>
      <c r="C216" s="949" t="s">
        <v>983</v>
      </c>
      <c r="D216" s="950" t="s">
        <v>1051</v>
      </c>
      <c r="E216" s="950" t="s">
        <v>1052</v>
      </c>
      <c r="F216" s="951" t="s">
        <v>984</v>
      </c>
      <c r="G216" s="951"/>
      <c r="H216" s="951"/>
      <c r="I216" s="948" t="s">
        <v>985</v>
      </c>
      <c r="J216" s="948" t="s">
        <v>1053</v>
      </c>
      <c r="K216" s="948" t="s">
        <v>392</v>
      </c>
      <c r="L216" s="948" t="s">
        <v>377</v>
      </c>
      <c r="M216" s="952"/>
      <c r="N216" s="949" t="s">
        <v>1054</v>
      </c>
      <c r="O216" s="949"/>
      <c r="P216" s="949"/>
      <c r="Q216" s="949"/>
      <c r="R216" s="949"/>
      <c r="S216" s="949"/>
      <c r="T216" s="949" t="s">
        <v>1055</v>
      </c>
      <c r="U216" s="949"/>
      <c r="V216" s="949"/>
      <c r="W216" s="949" t="s">
        <v>989</v>
      </c>
      <c r="X216" s="949"/>
      <c r="Y216" s="949"/>
      <c r="Z216" s="949" t="s">
        <v>1056</v>
      </c>
      <c r="AA216" s="949"/>
      <c r="AB216" s="949"/>
      <c r="AC216" s="949"/>
      <c r="AD216" s="949"/>
      <c r="AE216" s="949"/>
      <c r="AF216" s="953" t="s">
        <v>1057</v>
      </c>
      <c r="AG216" s="953"/>
      <c r="AH216" s="953"/>
      <c r="AI216" s="953"/>
      <c r="AJ216" s="953"/>
      <c r="AK216" s="951" t="s">
        <v>1058</v>
      </c>
      <c r="AL216" s="951"/>
      <c r="AM216" s="951"/>
      <c r="AN216" s="951"/>
      <c r="AO216" s="951"/>
      <c r="AP216" s="951"/>
      <c r="AQ216" s="951" t="s">
        <v>1059</v>
      </c>
      <c r="AR216" s="951"/>
      <c r="AS216" s="951"/>
      <c r="AT216" s="951" t="s">
        <v>1060</v>
      </c>
      <c r="AU216" s="951"/>
      <c r="AV216" s="951"/>
      <c r="AW216" s="951"/>
      <c r="AX216" s="951"/>
      <c r="AY216" s="951"/>
      <c r="AZ216" s="951" t="s">
        <v>1061</v>
      </c>
      <c r="BA216" s="951"/>
      <c r="BB216" s="951"/>
      <c r="BC216" s="954" t="s">
        <v>1062</v>
      </c>
      <c r="BD216" s="954"/>
      <c r="BE216" s="954"/>
      <c r="BF216" s="954"/>
      <c r="BG216" s="954"/>
      <c r="BH216" s="954"/>
      <c r="BI216" s="954" t="s">
        <v>996</v>
      </c>
      <c r="BJ216" s="954"/>
      <c r="BK216" s="954"/>
      <c r="BL216" s="951" t="s">
        <v>997</v>
      </c>
      <c r="BM216" s="951"/>
      <c r="BN216" s="951"/>
      <c r="BO216" s="951"/>
      <c r="BP216" s="951"/>
      <c r="BQ216" s="951"/>
      <c r="BR216" s="951"/>
      <c r="BS216" s="951"/>
      <c r="BT216" s="955" t="s">
        <v>998</v>
      </c>
    </row>
    <row r="217" spans="1:72">
      <c r="A217" s="949"/>
      <c r="B217" s="949"/>
      <c r="C217" s="949"/>
      <c r="D217" s="949" t="s">
        <v>1063</v>
      </c>
      <c r="E217" s="949" t="s">
        <v>391</v>
      </c>
      <c r="F217" s="948" t="s">
        <v>999</v>
      </c>
      <c r="G217" s="948" t="s">
        <v>1000</v>
      </c>
      <c r="H217" s="948" t="s">
        <v>1001</v>
      </c>
      <c r="I217" s="948" t="s">
        <v>1002</v>
      </c>
      <c r="J217" s="948" t="s">
        <v>1003</v>
      </c>
      <c r="K217" s="951" t="s">
        <v>1064</v>
      </c>
      <c r="L217" s="948"/>
      <c r="M217" s="952"/>
      <c r="N217" s="949" t="s">
        <v>1001</v>
      </c>
      <c r="O217" s="949"/>
      <c r="P217" s="949" t="s">
        <v>1000</v>
      </c>
      <c r="Q217" s="949"/>
      <c r="R217" s="949" t="s">
        <v>1001</v>
      </c>
      <c r="S217" s="949"/>
      <c r="T217" s="950" t="s">
        <v>1007</v>
      </c>
      <c r="U217" s="949" t="s">
        <v>1005</v>
      </c>
      <c r="V217" s="949"/>
      <c r="W217" s="949"/>
      <c r="X217" s="949" t="s">
        <v>1000</v>
      </c>
      <c r="Y217" s="949" t="s">
        <v>1001</v>
      </c>
      <c r="Z217" s="949" t="s">
        <v>1001</v>
      </c>
      <c r="AA217" s="949"/>
      <c r="AB217" s="949" t="s">
        <v>1000</v>
      </c>
      <c r="AC217" s="949"/>
      <c r="AD217" s="949" t="s">
        <v>1001</v>
      </c>
      <c r="AE217" s="949"/>
      <c r="AF217" s="953" t="s">
        <v>1004</v>
      </c>
      <c r="AG217" s="953"/>
      <c r="AH217" s="953"/>
      <c r="AI217" s="953" t="s">
        <v>1065</v>
      </c>
      <c r="AJ217" s="953"/>
      <c r="AK217" s="951" t="s">
        <v>1001</v>
      </c>
      <c r="AL217" s="951"/>
      <c r="AM217" s="951" t="s">
        <v>1000</v>
      </c>
      <c r="AN217" s="951"/>
      <c r="AO217" s="951" t="s">
        <v>1001</v>
      </c>
      <c r="AP217" s="951"/>
      <c r="AQ217" s="951" t="s">
        <v>1004</v>
      </c>
      <c r="AR217" s="951" t="s">
        <v>1005</v>
      </c>
      <c r="AS217" s="951"/>
      <c r="AT217" s="951" t="s">
        <v>1066</v>
      </c>
      <c r="AU217" s="951"/>
      <c r="AV217" s="951" t="s">
        <v>1000</v>
      </c>
      <c r="AW217" s="951"/>
      <c r="AX217" s="951" t="s">
        <v>1001</v>
      </c>
      <c r="AY217" s="951"/>
      <c r="AZ217" s="951" t="s">
        <v>1004</v>
      </c>
      <c r="BA217" s="951" t="s">
        <v>1005</v>
      </c>
      <c r="BB217" s="951"/>
      <c r="BC217" s="953" t="s">
        <v>1001</v>
      </c>
      <c r="BD217" s="953"/>
      <c r="BE217" s="953" t="s">
        <v>1000</v>
      </c>
      <c r="BF217" s="953"/>
      <c r="BG217" s="951" t="s">
        <v>1001</v>
      </c>
      <c r="BH217" s="951"/>
      <c r="BI217" s="956" t="s">
        <v>1004</v>
      </c>
      <c r="BJ217" s="954" t="s">
        <v>1005</v>
      </c>
      <c r="BK217" s="954"/>
      <c r="BL217" s="951" t="s">
        <v>1006</v>
      </c>
      <c r="BM217" s="951"/>
      <c r="BN217" s="951"/>
      <c r="BO217" s="951"/>
      <c r="BP217" s="951"/>
      <c r="BQ217" s="951"/>
      <c r="BR217" s="951" t="s">
        <v>1067</v>
      </c>
      <c r="BS217" s="951"/>
      <c r="BT217" s="953" t="s">
        <v>1068</v>
      </c>
    </row>
    <row r="218" spans="1:72">
      <c r="A218" s="949"/>
      <c r="B218" s="949"/>
      <c r="C218" s="949" t="s">
        <v>391</v>
      </c>
      <c r="D218" s="949"/>
      <c r="E218" s="949"/>
      <c r="F218" s="948" t="s">
        <v>1069</v>
      </c>
      <c r="G218" s="948" t="s">
        <v>1069</v>
      </c>
      <c r="H218" s="948" t="s">
        <v>1069</v>
      </c>
      <c r="I218" s="948" t="s">
        <v>1069</v>
      </c>
      <c r="J218" s="948" t="s">
        <v>1069</v>
      </c>
      <c r="K218" s="951"/>
      <c r="L218" s="948" t="s">
        <v>1070</v>
      </c>
      <c r="M218" s="952"/>
      <c r="N218" s="949"/>
      <c r="O218" s="949"/>
      <c r="P218" s="949"/>
      <c r="Q218" s="949"/>
      <c r="R218" s="949"/>
      <c r="S218" s="949"/>
      <c r="T218" s="950" t="s">
        <v>1071</v>
      </c>
      <c r="U218" s="950" t="s">
        <v>1012</v>
      </c>
      <c r="V218" s="950" t="s">
        <v>494</v>
      </c>
      <c r="W218" s="949"/>
      <c r="X218" s="949"/>
      <c r="Y218" s="949"/>
      <c r="Z218" s="949"/>
      <c r="AA218" s="949"/>
      <c r="AB218" s="949"/>
      <c r="AC218" s="949"/>
      <c r="AD218" s="949"/>
      <c r="AE218" s="949"/>
      <c r="AF218" s="955" t="s">
        <v>1001</v>
      </c>
      <c r="AG218" s="955" t="s">
        <v>1000</v>
      </c>
      <c r="AH218" s="955" t="s">
        <v>1001</v>
      </c>
      <c r="AI218" s="955" t="s">
        <v>1012</v>
      </c>
      <c r="AJ218" s="955" t="s">
        <v>494</v>
      </c>
      <c r="AK218" s="951"/>
      <c r="AL218" s="951"/>
      <c r="AM218" s="951"/>
      <c r="AN218" s="951"/>
      <c r="AO218" s="951"/>
      <c r="AP218" s="951"/>
      <c r="AQ218" s="951"/>
      <c r="AR218" s="948" t="s">
        <v>1012</v>
      </c>
      <c r="AS218" s="948" t="s">
        <v>494</v>
      </c>
      <c r="AT218" s="951"/>
      <c r="AU218" s="951"/>
      <c r="AV218" s="951"/>
      <c r="AW218" s="951"/>
      <c r="AX218" s="951"/>
      <c r="AY218" s="951"/>
      <c r="AZ218" s="951"/>
      <c r="BA218" s="948" t="s">
        <v>1012</v>
      </c>
      <c r="BB218" s="948" t="s">
        <v>494</v>
      </c>
      <c r="BC218" s="953"/>
      <c r="BD218" s="953"/>
      <c r="BE218" s="953"/>
      <c r="BF218" s="953"/>
      <c r="BG218" s="951"/>
      <c r="BH218" s="951"/>
      <c r="BI218" s="957"/>
      <c r="BJ218" s="957" t="s">
        <v>1012</v>
      </c>
      <c r="BK218" s="957" t="s">
        <v>494</v>
      </c>
      <c r="BL218" s="951" t="s">
        <v>1001</v>
      </c>
      <c r="BM218" s="951"/>
      <c r="BN218" s="951" t="s">
        <v>1000</v>
      </c>
      <c r="BO218" s="951"/>
      <c r="BP218" s="951" t="s">
        <v>1001</v>
      </c>
      <c r="BQ218" s="951"/>
      <c r="BR218" s="951" t="s">
        <v>1004</v>
      </c>
      <c r="BS218" s="948"/>
      <c r="BT218" s="953"/>
    </row>
    <row r="219" spans="1:72">
      <c r="A219" s="949"/>
      <c r="B219" s="949"/>
      <c r="C219" s="949"/>
      <c r="D219" s="950" t="s">
        <v>1072</v>
      </c>
      <c r="E219" s="950" t="s">
        <v>1073</v>
      </c>
      <c r="F219" s="948" t="s">
        <v>1074</v>
      </c>
      <c r="G219" s="948" t="s">
        <v>1075</v>
      </c>
      <c r="H219" s="948" t="s">
        <v>1076</v>
      </c>
      <c r="I219" s="948" t="s">
        <v>1077</v>
      </c>
      <c r="J219" s="948" t="s">
        <v>1078</v>
      </c>
      <c r="K219" s="948" t="s">
        <v>1079</v>
      </c>
      <c r="L219" s="948" t="s">
        <v>1080</v>
      </c>
      <c r="M219" s="952"/>
      <c r="N219" s="949" t="s">
        <v>1081</v>
      </c>
      <c r="O219" s="949"/>
      <c r="P219" s="949"/>
      <c r="Q219" s="949"/>
      <c r="R219" s="949"/>
      <c r="S219" s="949"/>
      <c r="T219" s="950" t="s">
        <v>1082</v>
      </c>
      <c r="U219" s="949" t="s">
        <v>1081</v>
      </c>
      <c r="V219" s="949"/>
      <c r="W219" s="949" t="s">
        <v>1081</v>
      </c>
      <c r="X219" s="949"/>
      <c r="Y219" s="949"/>
      <c r="Z219" s="949" t="s">
        <v>1082</v>
      </c>
      <c r="AA219" s="949"/>
      <c r="AB219" s="949"/>
      <c r="AC219" s="949"/>
      <c r="AD219" s="949"/>
      <c r="AE219" s="949"/>
      <c r="AF219" s="953" t="s">
        <v>1082</v>
      </c>
      <c r="AG219" s="953"/>
      <c r="AH219" s="953"/>
      <c r="AI219" s="953"/>
      <c r="AJ219" s="953"/>
      <c r="AK219" s="951" t="s">
        <v>1069</v>
      </c>
      <c r="AL219" s="951"/>
      <c r="AM219" s="951"/>
      <c r="AN219" s="951"/>
      <c r="AO219" s="951"/>
      <c r="AP219" s="951"/>
      <c r="AQ219" s="951"/>
      <c r="AR219" s="951"/>
      <c r="AS219" s="951"/>
      <c r="AT219" s="951"/>
      <c r="AU219" s="951"/>
      <c r="AV219" s="951"/>
      <c r="AW219" s="951"/>
      <c r="AX219" s="951"/>
      <c r="AY219" s="951"/>
      <c r="AZ219" s="951"/>
      <c r="BA219" s="951"/>
      <c r="BB219" s="951"/>
      <c r="BC219" s="954"/>
      <c r="BD219" s="954"/>
      <c r="BE219" s="954"/>
      <c r="BF219" s="954"/>
      <c r="BG219" s="954"/>
      <c r="BH219" s="954"/>
      <c r="BI219" s="954"/>
      <c r="BJ219" s="954"/>
      <c r="BK219" s="954"/>
      <c r="BL219" s="951"/>
      <c r="BM219" s="951"/>
      <c r="BN219" s="951"/>
      <c r="BO219" s="951"/>
      <c r="BP219" s="951"/>
      <c r="BQ219" s="951"/>
      <c r="BR219" s="951"/>
      <c r="BS219" s="948" t="s">
        <v>494</v>
      </c>
      <c r="BT219" s="953"/>
    </row>
    <row r="220" spans="1:72">
      <c r="A220" s="952"/>
      <c r="B220" s="952"/>
      <c r="C220" s="950"/>
      <c r="D220" s="950"/>
      <c r="E220" s="950"/>
      <c r="F220" s="948"/>
      <c r="G220" s="948"/>
      <c r="H220" s="948"/>
      <c r="I220" s="948"/>
      <c r="J220" s="948"/>
      <c r="K220" s="948"/>
      <c r="L220" s="948"/>
      <c r="M220" s="952"/>
      <c r="N220" s="950"/>
      <c r="O220" s="950"/>
      <c r="P220" s="950"/>
      <c r="Q220" s="950"/>
      <c r="R220" s="950"/>
      <c r="S220" s="950"/>
      <c r="T220" s="950"/>
      <c r="U220" s="950"/>
      <c r="V220" s="950"/>
      <c r="W220" s="950"/>
      <c r="X220" s="950"/>
      <c r="Y220" s="950"/>
      <c r="Z220" s="950"/>
      <c r="AA220" s="950"/>
      <c r="AB220" s="950"/>
      <c r="AC220" s="950"/>
      <c r="AD220" s="950"/>
      <c r="AE220" s="950"/>
      <c r="AF220" s="955"/>
      <c r="AG220" s="955"/>
      <c r="AH220" s="955"/>
      <c r="AI220" s="955"/>
      <c r="AJ220" s="955"/>
      <c r="AK220" s="948"/>
      <c r="AL220" s="948"/>
      <c r="AM220" s="948"/>
      <c r="AN220" s="948"/>
      <c r="AO220" s="948"/>
      <c r="AP220" s="948"/>
      <c r="AQ220" s="948"/>
      <c r="AR220" s="948"/>
      <c r="AS220" s="948"/>
      <c r="AT220" s="948"/>
      <c r="AU220" s="948"/>
      <c r="AV220" s="948"/>
      <c r="AW220" s="948"/>
      <c r="AX220" s="948"/>
      <c r="AY220" s="948"/>
      <c r="AZ220" s="948"/>
      <c r="BA220" s="948"/>
      <c r="BB220" s="948"/>
      <c r="BC220" s="957"/>
      <c r="BD220" s="957"/>
      <c r="BE220" s="957"/>
      <c r="BF220" s="957"/>
      <c r="BG220" s="957"/>
      <c r="BH220" s="957"/>
      <c r="BI220" s="957"/>
      <c r="BJ220" s="957"/>
      <c r="BK220" s="957"/>
      <c r="BL220" s="948"/>
      <c r="BM220" s="948"/>
      <c r="BN220" s="948"/>
      <c r="BO220" s="948"/>
      <c r="BP220" s="948"/>
      <c r="BQ220" s="948"/>
      <c r="BR220" s="948"/>
      <c r="BS220" s="948"/>
      <c r="BT220" s="955"/>
    </row>
    <row r="221" spans="1:72">
      <c r="A221" s="958" t="s">
        <v>1181</v>
      </c>
      <c r="B221" s="952"/>
      <c r="C221" s="950"/>
      <c r="D221" s="950"/>
      <c r="E221" s="950"/>
      <c r="F221" s="948"/>
      <c r="G221" s="948"/>
      <c r="H221" s="948"/>
      <c r="I221" s="948"/>
      <c r="J221" s="948"/>
      <c r="K221" s="948"/>
      <c r="L221" s="948"/>
      <c r="M221" s="952"/>
      <c r="N221" s="958" t="s">
        <v>1181</v>
      </c>
      <c r="O221" s="950"/>
      <c r="P221" s="950"/>
      <c r="Q221" s="950"/>
      <c r="R221" s="950"/>
      <c r="S221" s="950"/>
      <c r="T221" s="950"/>
      <c r="U221" s="950"/>
      <c r="V221" s="950"/>
      <c r="W221" s="950"/>
      <c r="X221" s="950"/>
      <c r="Y221" s="950"/>
      <c r="Z221" s="950"/>
      <c r="AA221" s="950"/>
      <c r="AB221" s="950"/>
      <c r="AC221" s="950"/>
      <c r="AD221" s="950"/>
      <c r="AE221" s="950"/>
      <c r="AF221" s="955"/>
      <c r="AG221" s="955"/>
      <c r="AH221" s="955"/>
      <c r="AI221" s="955"/>
      <c r="AJ221" s="955"/>
      <c r="AK221" s="948"/>
      <c r="AL221" s="948"/>
      <c r="AM221" s="948"/>
      <c r="AN221" s="948"/>
      <c r="AO221" s="948"/>
      <c r="AP221" s="948"/>
      <c r="AQ221" s="948"/>
      <c r="AR221" s="948"/>
      <c r="AS221" s="948"/>
      <c r="AT221" s="948"/>
      <c r="AU221" s="948"/>
      <c r="AV221" s="948"/>
      <c r="AW221" s="948"/>
      <c r="AX221" s="948"/>
      <c r="AY221" s="948"/>
      <c r="AZ221" s="948"/>
      <c r="BA221" s="948"/>
      <c r="BB221" s="948"/>
      <c r="BC221" s="957"/>
      <c r="BD221" s="957"/>
      <c r="BE221" s="957"/>
      <c r="BF221" s="957"/>
      <c r="BG221" s="957"/>
      <c r="BH221" s="957"/>
      <c r="BI221" s="957"/>
      <c r="BJ221" s="957"/>
      <c r="BK221" s="957"/>
      <c r="BL221" s="948"/>
      <c r="BM221" s="948"/>
      <c r="BN221" s="948"/>
      <c r="BO221" s="948"/>
      <c r="BP221" s="948"/>
      <c r="BQ221" s="948"/>
      <c r="BR221" s="948"/>
      <c r="BS221" s="948"/>
      <c r="BT221" s="955"/>
    </row>
    <row r="222" spans="1:72">
      <c r="A222" s="960" t="s">
        <v>2</v>
      </c>
      <c r="B222" s="960" t="s">
        <v>1084</v>
      </c>
      <c r="C222" s="950"/>
      <c r="D222" s="950"/>
      <c r="E222" s="950"/>
      <c r="F222" s="948"/>
      <c r="G222" s="948"/>
      <c r="H222" s="948"/>
      <c r="I222" s="948"/>
      <c r="J222" s="948"/>
      <c r="K222" s="948"/>
      <c r="L222" s="948"/>
      <c r="M222" s="952"/>
      <c r="N222" s="959" t="str">
        <f>A222</f>
        <v>A</v>
      </c>
      <c r="O222" s="959" t="str">
        <f>B222</f>
        <v>Vertikal</v>
      </c>
      <c r="P222" s="950"/>
      <c r="Q222" s="950"/>
      <c r="R222" s="950"/>
      <c r="S222" s="950"/>
      <c r="T222" s="950"/>
      <c r="U222" s="950"/>
      <c r="V222" s="950"/>
      <c r="W222" s="950"/>
      <c r="X222" s="950"/>
      <c r="Y222" s="950"/>
      <c r="Z222" s="950"/>
      <c r="AA222" s="950"/>
      <c r="AB222" s="950"/>
      <c r="AC222" s="950"/>
      <c r="AD222" s="950"/>
      <c r="AE222" s="950"/>
      <c r="AF222" s="955"/>
      <c r="AG222" s="955"/>
      <c r="AH222" s="955"/>
      <c r="AI222" s="955"/>
      <c r="AJ222" s="955"/>
      <c r="AK222" s="948"/>
      <c r="AL222" s="948"/>
      <c r="AM222" s="948"/>
      <c r="AN222" s="948"/>
      <c r="AO222" s="948"/>
      <c r="AP222" s="948"/>
      <c r="AQ222" s="948"/>
      <c r="AR222" s="948"/>
      <c r="AS222" s="948"/>
      <c r="AT222" s="948"/>
      <c r="AU222" s="948"/>
      <c r="AV222" s="948"/>
      <c r="AW222" s="948"/>
      <c r="AX222" s="948"/>
      <c r="AY222" s="948"/>
      <c r="AZ222" s="948"/>
      <c r="BA222" s="948"/>
      <c r="BB222" s="948"/>
      <c r="BC222" s="957"/>
      <c r="BD222" s="957"/>
      <c r="BE222" s="957"/>
      <c r="BF222" s="957"/>
      <c r="BG222" s="957"/>
      <c r="BH222" s="957"/>
      <c r="BI222" s="957"/>
      <c r="BJ222" s="957"/>
      <c r="BK222" s="957"/>
      <c r="BL222" s="948"/>
      <c r="BM222" s="948"/>
      <c r="BN222" s="948"/>
      <c r="BO222" s="948"/>
      <c r="BP222" s="948"/>
      <c r="BQ222" s="948"/>
      <c r="BR222" s="948"/>
      <c r="BS222" s="948"/>
      <c r="BT222" s="955"/>
    </row>
    <row r="223" spans="1:72">
      <c r="A223" s="952">
        <v>1</v>
      </c>
      <c r="B223" s="952" t="s">
        <v>1161</v>
      </c>
      <c r="C223" s="950" t="s">
        <v>1108</v>
      </c>
      <c r="D223" s="950">
        <v>1</v>
      </c>
      <c r="E223" s="950">
        <v>1</v>
      </c>
      <c r="F223" s="948">
        <v>64</v>
      </c>
      <c r="G223" s="948">
        <v>0.25</v>
      </c>
      <c r="H223" s="948">
        <v>0.6</v>
      </c>
      <c r="I223" s="948">
        <v>0.12</v>
      </c>
      <c r="J223" s="948">
        <f t="shared" ref="J223" si="410">H223-I223</f>
        <v>0.48</v>
      </c>
      <c r="K223" s="948">
        <f>F223*G223*J223*D223*E223</f>
        <v>7.68</v>
      </c>
      <c r="L223" s="948">
        <f>(2*J223)*F223*E223*D223</f>
        <v>61.44</v>
      </c>
      <c r="M223" s="952"/>
      <c r="N223" s="950">
        <v>16</v>
      </c>
      <c r="O223" s="950">
        <v>16</v>
      </c>
      <c r="P223" s="950">
        <v>16</v>
      </c>
      <c r="Q223" s="950">
        <v>16</v>
      </c>
      <c r="R223" s="950">
        <v>16</v>
      </c>
      <c r="S223" s="950">
        <v>16</v>
      </c>
      <c r="T223" s="950">
        <v>8</v>
      </c>
      <c r="U223" s="950"/>
      <c r="V223" s="950"/>
      <c r="W223" s="950">
        <v>200</v>
      </c>
      <c r="X223" s="950">
        <v>100</v>
      </c>
      <c r="Y223" s="950">
        <v>100</v>
      </c>
      <c r="Z223" s="950">
        <v>4</v>
      </c>
      <c r="AA223" s="950">
        <v>4</v>
      </c>
      <c r="AB223" s="950">
        <v>2</v>
      </c>
      <c r="AC223" s="950">
        <v>2</v>
      </c>
      <c r="AD223" s="950">
        <v>4</v>
      </c>
      <c r="AE223" s="950">
        <v>4</v>
      </c>
      <c r="AF223" s="955">
        <f t="shared" ref="AF223:AF227" si="411">(F223/4)/(W223/1000)+1</f>
        <v>81</v>
      </c>
      <c r="AG223" s="955">
        <f t="shared" ref="AG223:AG227" si="412">(F223/2)/(X223/1000)+1</f>
        <v>321</v>
      </c>
      <c r="AH223" s="955">
        <f t="shared" ref="AH223:AH227" si="413">(F223/4)/(Y223/1000)+1</f>
        <v>161</v>
      </c>
      <c r="AI223" s="955">
        <v>0</v>
      </c>
      <c r="AJ223" s="955">
        <v>0</v>
      </c>
      <c r="AK223" s="948">
        <f t="shared" ref="AK223:AK227" si="414">(F223/4)+(20*N223/1000)+(10*N223/1000)+(8*N223/1000)+(6*2*N223/1000)</f>
        <v>16.8</v>
      </c>
      <c r="AL223" s="948">
        <f t="shared" ref="AL223:AL227" si="415">(F223/4)+(20*O223/1000)+(10*O223/1000)+(8*O223/1000)+(6*2*O223/1000)</f>
        <v>16.8</v>
      </c>
      <c r="AM223" s="948">
        <f t="shared" ref="AM223:AM227" si="416">(F223/2)+(20*P223/1000)+(6*2*P223/1000)</f>
        <v>32.512</v>
      </c>
      <c r="AN223" s="948">
        <f t="shared" ref="AN223:AN227" si="417">(F223/2)+(20*Q223/1000)+(6*2*Q223/1000)</f>
        <v>32.512</v>
      </c>
      <c r="AO223" s="948">
        <f t="shared" ref="AO223:AO227" si="418">(F223/4)+(20*R223/1000)+(10*R223/1000)+(8*R223/1000)+(6*2*R223/1000)</f>
        <v>16.8</v>
      </c>
      <c r="AP223" s="948">
        <f t="shared" ref="AP223:AP227" si="419">(F223/4)+(20*S223/1000)+(10*S223/1000)+(8*S223/1000)+(6*2*S223/1000)</f>
        <v>16.8</v>
      </c>
      <c r="AQ223" s="948">
        <f t="shared" ref="AQ223:AQ227" si="420">(2*G223)+(2*H223)+(6*T223/1000)-(8*0.03)</f>
        <v>1.508</v>
      </c>
      <c r="AR223" s="948">
        <f t="shared" ref="AR223:AR227" si="421">((H223)+(2*6*U223/1000)-(2*0.03))*AI223</f>
        <v>0</v>
      </c>
      <c r="AS223" s="948">
        <f t="shared" ref="AS223:AS227" si="422">((G223)+(2*6*V223/1000)-(2*0.03))*AJ223</f>
        <v>0</v>
      </c>
      <c r="AT223" s="948">
        <f t="shared" ref="AT223:AT227" si="423">AK223*Z223*E223*D223</f>
        <v>67.2</v>
      </c>
      <c r="AU223" s="948">
        <f t="shared" ref="AU223:AU227" si="424">AL223*AA223*E223*D223</f>
        <v>67.2</v>
      </c>
      <c r="AV223" s="948">
        <f t="shared" ref="AV223:AV227" si="425">AM223*AB223*E223*D223</f>
        <v>65.024000000000001</v>
      </c>
      <c r="AW223" s="948">
        <f t="shared" ref="AW223:AW227" si="426">AN223*AC223*E223*D223</f>
        <v>65.024000000000001</v>
      </c>
      <c r="AX223" s="948">
        <f t="shared" ref="AX223:AX227" si="427">AO223*AD223*E223*D223</f>
        <v>67.2</v>
      </c>
      <c r="AY223" s="948">
        <f t="shared" ref="AY223:AY227" si="428">AP223*AE223*E223*D223</f>
        <v>67.2</v>
      </c>
      <c r="AZ223" s="948">
        <f t="shared" ref="AZ223:AZ227" si="429">AQ223*(AF223+AG223+AH223)*E223*D223</f>
        <v>849.00400000000002</v>
      </c>
      <c r="BA223" s="948">
        <f t="shared" ref="BA223:BA227" si="430">AR223*(AF223+AG223+AH223)*E223*D223</f>
        <v>0</v>
      </c>
      <c r="BB223" s="948">
        <f t="shared" ref="BB223:BB227" si="431">AS223*(AF223+AG223+AH223)*E223*D223</f>
        <v>0</v>
      </c>
      <c r="BC223" s="957">
        <f t="shared" ref="BC223:BK227" si="432">N223*N223*0.074/12</f>
        <v>1.5786666666666667</v>
      </c>
      <c r="BD223" s="957">
        <f t="shared" si="432"/>
        <v>1.5786666666666667</v>
      </c>
      <c r="BE223" s="957">
        <f t="shared" si="432"/>
        <v>1.5786666666666667</v>
      </c>
      <c r="BF223" s="957">
        <f t="shared" si="432"/>
        <v>1.5786666666666667</v>
      </c>
      <c r="BG223" s="957">
        <f t="shared" si="432"/>
        <v>1.5786666666666667</v>
      </c>
      <c r="BH223" s="957">
        <f t="shared" si="432"/>
        <v>1.5786666666666667</v>
      </c>
      <c r="BI223" s="957">
        <f t="shared" si="432"/>
        <v>0.39466666666666667</v>
      </c>
      <c r="BJ223" s="957">
        <f t="shared" si="432"/>
        <v>0</v>
      </c>
      <c r="BK223" s="957">
        <f t="shared" si="432"/>
        <v>0</v>
      </c>
      <c r="BL223" s="948">
        <f t="shared" ref="BL223:BR227" si="433">AT223*BC223</f>
        <v>106.0864</v>
      </c>
      <c r="BM223" s="948">
        <f t="shared" si="433"/>
        <v>106.0864</v>
      </c>
      <c r="BN223" s="948">
        <f t="shared" si="433"/>
        <v>102.65122133333334</v>
      </c>
      <c r="BO223" s="948">
        <f t="shared" si="433"/>
        <v>102.65122133333334</v>
      </c>
      <c r="BP223" s="948">
        <f t="shared" si="433"/>
        <v>106.0864</v>
      </c>
      <c r="BQ223" s="948">
        <f t="shared" si="433"/>
        <v>106.0864</v>
      </c>
      <c r="BR223" s="948">
        <f t="shared" si="433"/>
        <v>335.07357866666666</v>
      </c>
      <c r="BS223" s="948">
        <f>BB223*BK223</f>
        <v>0</v>
      </c>
      <c r="BT223" s="955">
        <f>SUM(BL223:BS223)/K223</f>
        <v>125.61479444444446</v>
      </c>
    </row>
    <row r="224" spans="1:72">
      <c r="A224" s="952">
        <v>2</v>
      </c>
      <c r="B224" s="952" t="s">
        <v>1162</v>
      </c>
      <c r="C224" s="950" t="s">
        <v>1163</v>
      </c>
      <c r="D224" s="950">
        <v>1</v>
      </c>
      <c r="E224" s="950">
        <v>1</v>
      </c>
      <c r="F224" s="948">
        <v>64</v>
      </c>
      <c r="G224" s="948">
        <v>0.25</v>
      </c>
      <c r="H224" s="948">
        <v>0.6</v>
      </c>
      <c r="I224" s="948">
        <v>0.12</v>
      </c>
      <c r="J224" s="948">
        <f>H224-I224</f>
        <v>0.48</v>
      </c>
      <c r="K224" s="948">
        <f>F224*G224*J224*D224*E224</f>
        <v>7.68</v>
      </c>
      <c r="L224" s="948">
        <f>(2*J224)*F224*E224*D224</f>
        <v>61.44</v>
      </c>
      <c r="M224" s="952"/>
      <c r="N224" s="950">
        <v>16</v>
      </c>
      <c r="O224" s="950">
        <v>16</v>
      </c>
      <c r="P224" s="950">
        <v>16</v>
      </c>
      <c r="Q224" s="950">
        <v>16</v>
      </c>
      <c r="R224" s="950">
        <v>16</v>
      </c>
      <c r="S224" s="950">
        <v>16</v>
      </c>
      <c r="T224" s="950">
        <v>8</v>
      </c>
      <c r="U224" s="950"/>
      <c r="V224" s="950"/>
      <c r="W224" s="950">
        <v>200</v>
      </c>
      <c r="X224" s="950">
        <v>100</v>
      </c>
      <c r="Y224" s="950">
        <v>100</v>
      </c>
      <c r="Z224" s="950">
        <v>4</v>
      </c>
      <c r="AA224" s="950">
        <v>4</v>
      </c>
      <c r="AB224" s="950">
        <v>2</v>
      </c>
      <c r="AC224" s="950">
        <v>2</v>
      </c>
      <c r="AD224" s="950">
        <v>4</v>
      </c>
      <c r="AE224" s="950">
        <v>4</v>
      </c>
      <c r="AF224" s="955">
        <f t="shared" si="411"/>
        <v>81</v>
      </c>
      <c r="AG224" s="955">
        <f t="shared" si="412"/>
        <v>321</v>
      </c>
      <c r="AH224" s="955">
        <f t="shared" si="413"/>
        <v>161</v>
      </c>
      <c r="AI224" s="955">
        <v>0</v>
      </c>
      <c r="AJ224" s="955">
        <v>0</v>
      </c>
      <c r="AK224" s="948">
        <f t="shared" si="414"/>
        <v>16.8</v>
      </c>
      <c r="AL224" s="948">
        <f t="shared" si="415"/>
        <v>16.8</v>
      </c>
      <c r="AM224" s="948">
        <f t="shared" si="416"/>
        <v>32.512</v>
      </c>
      <c r="AN224" s="948">
        <f t="shared" si="417"/>
        <v>32.512</v>
      </c>
      <c r="AO224" s="948">
        <f t="shared" si="418"/>
        <v>16.8</v>
      </c>
      <c r="AP224" s="948">
        <f t="shared" si="419"/>
        <v>16.8</v>
      </c>
      <c r="AQ224" s="948">
        <f t="shared" si="420"/>
        <v>1.508</v>
      </c>
      <c r="AR224" s="948">
        <f t="shared" si="421"/>
        <v>0</v>
      </c>
      <c r="AS224" s="948">
        <f t="shared" si="422"/>
        <v>0</v>
      </c>
      <c r="AT224" s="948">
        <f t="shared" si="423"/>
        <v>67.2</v>
      </c>
      <c r="AU224" s="948">
        <f t="shared" si="424"/>
        <v>67.2</v>
      </c>
      <c r="AV224" s="948">
        <f t="shared" si="425"/>
        <v>65.024000000000001</v>
      </c>
      <c r="AW224" s="948">
        <f t="shared" si="426"/>
        <v>65.024000000000001</v>
      </c>
      <c r="AX224" s="948">
        <f t="shared" si="427"/>
        <v>67.2</v>
      </c>
      <c r="AY224" s="948">
        <f t="shared" si="428"/>
        <v>67.2</v>
      </c>
      <c r="AZ224" s="948">
        <f t="shared" si="429"/>
        <v>849.00400000000002</v>
      </c>
      <c r="BA224" s="948">
        <f t="shared" si="430"/>
        <v>0</v>
      </c>
      <c r="BB224" s="948">
        <f t="shared" si="431"/>
        <v>0</v>
      </c>
      <c r="BC224" s="957">
        <f t="shared" si="432"/>
        <v>1.5786666666666667</v>
      </c>
      <c r="BD224" s="957">
        <f t="shared" si="432"/>
        <v>1.5786666666666667</v>
      </c>
      <c r="BE224" s="957">
        <f t="shared" si="432"/>
        <v>1.5786666666666667</v>
      </c>
      <c r="BF224" s="957">
        <f t="shared" si="432"/>
        <v>1.5786666666666667</v>
      </c>
      <c r="BG224" s="957">
        <f t="shared" si="432"/>
        <v>1.5786666666666667</v>
      </c>
      <c r="BH224" s="957">
        <f t="shared" si="432"/>
        <v>1.5786666666666667</v>
      </c>
      <c r="BI224" s="957">
        <f t="shared" si="432"/>
        <v>0.39466666666666667</v>
      </c>
      <c r="BJ224" s="957">
        <f t="shared" si="432"/>
        <v>0</v>
      </c>
      <c r="BK224" s="957">
        <f t="shared" si="432"/>
        <v>0</v>
      </c>
      <c r="BL224" s="948">
        <f t="shared" si="433"/>
        <v>106.0864</v>
      </c>
      <c r="BM224" s="948">
        <f t="shared" si="433"/>
        <v>106.0864</v>
      </c>
      <c r="BN224" s="948">
        <f t="shared" si="433"/>
        <v>102.65122133333334</v>
      </c>
      <c r="BO224" s="948">
        <f t="shared" si="433"/>
        <v>102.65122133333334</v>
      </c>
      <c r="BP224" s="948">
        <f t="shared" si="433"/>
        <v>106.0864</v>
      </c>
      <c r="BQ224" s="948">
        <f t="shared" si="433"/>
        <v>106.0864</v>
      </c>
      <c r="BR224" s="948">
        <f t="shared" si="433"/>
        <v>335.07357866666666</v>
      </c>
      <c r="BS224" s="948">
        <f>BB224*BK224</f>
        <v>0</v>
      </c>
      <c r="BT224" s="955">
        <f>SUM(BL224:BS224)/K224</f>
        <v>125.61479444444446</v>
      </c>
    </row>
    <row r="225" spans="1:72">
      <c r="A225" s="952">
        <v>3</v>
      </c>
      <c r="B225" s="952" t="s">
        <v>1092</v>
      </c>
      <c r="C225" s="950" t="s">
        <v>1093</v>
      </c>
      <c r="D225" s="950">
        <v>1</v>
      </c>
      <c r="E225" s="950">
        <v>1</v>
      </c>
      <c r="F225" s="948">
        <v>80</v>
      </c>
      <c r="G225" s="948">
        <v>0.25</v>
      </c>
      <c r="H225" s="948">
        <v>0.6</v>
      </c>
      <c r="I225" s="948">
        <v>0.12</v>
      </c>
      <c r="J225" s="948">
        <f>H225-I225</f>
        <v>0.48</v>
      </c>
      <c r="K225" s="948">
        <f>F225*G225*J225*D225*E225</f>
        <v>9.6</v>
      </c>
      <c r="L225" s="948">
        <f>(2*J225)*F225*E225*D225</f>
        <v>76.8</v>
      </c>
      <c r="M225" s="952"/>
      <c r="N225" s="950">
        <v>16</v>
      </c>
      <c r="O225" s="950">
        <v>16</v>
      </c>
      <c r="P225" s="950">
        <v>16</v>
      </c>
      <c r="Q225" s="950">
        <v>16</v>
      </c>
      <c r="R225" s="950">
        <v>16</v>
      </c>
      <c r="S225" s="950">
        <v>16</v>
      </c>
      <c r="T225" s="950">
        <v>8</v>
      </c>
      <c r="U225" s="950"/>
      <c r="V225" s="950"/>
      <c r="W225" s="950">
        <v>200</v>
      </c>
      <c r="X225" s="950">
        <v>100</v>
      </c>
      <c r="Y225" s="950">
        <v>100</v>
      </c>
      <c r="Z225" s="950">
        <v>9</v>
      </c>
      <c r="AA225" s="950">
        <v>6</v>
      </c>
      <c r="AB225" s="950">
        <v>4</v>
      </c>
      <c r="AC225" s="950">
        <v>4</v>
      </c>
      <c r="AD225" s="950">
        <v>9</v>
      </c>
      <c r="AE225" s="950">
        <v>6</v>
      </c>
      <c r="AF225" s="955">
        <f t="shared" si="411"/>
        <v>101</v>
      </c>
      <c r="AG225" s="955">
        <f t="shared" si="412"/>
        <v>401</v>
      </c>
      <c r="AH225" s="955">
        <f t="shared" si="413"/>
        <v>201</v>
      </c>
      <c r="AI225" s="955">
        <v>0</v>
      </c>
      <c r="AJ225" s="955">
        <v>0</v>
      </c>
      <c r="AK225" s="948">
        <f t="shared" si="414"/>
        <v>20.8</v>
      </c>
      <c r="AL225" s="948">
        <f t="shared" si="415"/>
        <v>20.8</v>
      </c>
      <c r="AM225" s="948">
        <f t="shared" si="416"/>
        <v>40.512</v>
      </c>
      <c r="AN225" s="948">
        <f t="shared" si="417"/>
        <v>40.512</v>
      </c>
      <c r="AO225" s="948">
        <f t="shared" si="418"/>
        <v>20.8</v>
      </c>
      <c r="AP225" s="948">
        <f t="shared" si="419"/>
        <v>20.8</v>
      </c>
      <c r="AQ225" s="948">
        <f t="shared" si="420"/>
        <v>1.508</v>
      </c>
      <c r="AR225" s="948">
        <f t="shared" si="421"/>
        <v>0</v>
      </c>
      <c r="AS225" s="948">
        <f t="shared" si="422"/>
        <v>0</v>
      </c>
      <c r="AT225" s="948">
        <f t="shared" si="423"/>
        <v>187.20000000000002</v>
      </c>
      <c r="AU225" s="948">
        <f t="shared" si="424"/>
        <v>124.80000000000001</v>
      </c>
      <c r="AV225" s="948">
        <f t="shared" si="425"/>
        <v>162.048</v>
      </c>
      <c r="AW225" s="948">
        <f t="shared" si="426"/>
        <v>162.048</v>
      </c>
      <c r="AX225" s="948">
        <f t="shared" si="427"/>
        <v>187.20000000000002</v>
      </c>
      <c r="AY225" s="948">
        <f t="shared" si="428"/>
        <v>124.80000000000001</v>
      </c>
      <c r="AZ225" s="948">
        <f t="shared" si="429"/>
        <v>1060.124</v>
      </c>
      <c r="BA225" s="948">
        <f t="shared" si="430"/>
        <v>0</v>
      </c>
      <c r="BB225" s="948">
        <f t="shared" si="431"/>
        <v>0</v>
      </c>
      <c r="BC225" s="957">
        <f t="shared" si="432"/>
        <v>1.5786666666666667</v>
      </c>
      <c r="BD225" s="957">
        <f t="shared" si="432"/>
        <v>1.5786666666666667</v>
      </c>
      <c r="BE225" s="957">
        <f t="shared" si="432"/>
        <v>1.5786666666666667</v>
      </c>
      <c r="BF225" s="957">
        <f t="shared" si="432"/>
        <v>1.5786666666666667</v>
      </c>
      <c r="BG225" s="957">
        <f t="shared" si="432"/>
        <v>1.5786666666666667</v>
      </c>
      <c r="BH225" s="957">
        <f t="shared" si="432"/>
        <v>1.5786666666666667</v>
      </c>
      <c r="BI225" s="957">
        <f t="shared" si="432"/>
        <v>0.39466666666666667</v>
      </c>
      <c r="BJ225" s="957">
        <f t="shared" si="432"/>
        <v>0</v>
      </c>
      <c r="BK225" s="957">
        <f t="shared" si="432"/>
        <v>0</v>
      </c>
      <c r="BL225" s="948">
        <f t="shared" si="433"/>
        <v>295.52640000000002</v>
      </c>
      <c r="BM225" s="948">
        <f t="shared" si="433"/>
        <v>197.01760000000002</v>
      </c>
      <c r="BN225" s="948">
        <f t="shared" si="433"/>
        <v>255.81977599999999</v>
      </c>
      <c r="BO225" s="948">
        <f t="shared" si="433"/>
        <v>255.81977599999999</v>
      </c>
      <c r="BP225" s="948">
        <f t="shared" si="433"/>
        <v>295.52640000000002</v>
      </c>
      <c r="BQ225" s="948">
        <f t="shared" si="433"/>
        <v>197.01760000000002</v>
      </c>
      <c r="BR225" s="948">
        <f t="shared" si="433"/>
        <v>418.39560533333332</v>
      </c>
      <c r="BS225" s="948">
        <f>BB225*BK225</f>
        <v>0</v>
      </c>
      <c r="BT225" s="955">
        <f>SUM(BL225:BS225)/K225</f>
        <v>199.49199555555555</v>
      </c>
    </row>
    <row r="226" spans="1:72">
      <c r="A226" s="952">
        <v>4</v>
      </c>
      <c r="B226" s="952" t="s">
        <v>1164</v>
      </c>
      <c r="C226" s="950" t="s">
        <v>1165</v>
      </c>
      <c r="D226" s="950">
        <v>1</v>
      </c>
      <c r="E226" s="950">
        <v>1</v>
      </c>
      <c r="F226" s="948">
        <v>80</v>
      </c>
      <c r="G226" s="948">
        <v>0.3</v>
      </c>
      <c r="H226" s="948">
        <v>0.65</v>
      </c>
      <c r="I226" s="948">
        <v>0.12</v>
      </c>
      <c r="J226" s="948">
        <f>H226-I226</f>
        <v>0.53</v>
      </c>
      <c r="K226" s="948">
        <f>F226*G226*J226*D226*E226</f>
        <v>12.72</v>
      </c>
      <c r="L226" s="948">
        <f>(2*J226)*F226*E226*D226</f>
        <v>84.800000000000011</v>
      </c>
      <c r="M226" s="952"/>
      <c r="N226" s="950">
        <v>16</v>
      </c>
      <c r="O226" s="950">
        <v>16</v>
      </c>
      <c r="P226" s="950">
        <v>16</v>
      </c>
      <c r="Q226" s="950">
        <v>16</v>
      </c>
      <c r="R226" s="950">
        <v>16</v>
      </c>
      <c r="S226" s="950">
        <v>16</v>
      </c>
      <c r="T226" s="950">
        <v>8</v>
      </c>
      <c r="U226" s="950"/>
      <c r="V226" s="950"/>
      <c r="W226" s="950">
        <v>200</v>
      </c>
      <c r="X226" s="950">
        <v>100</v>
      </c>
      <c r="Y226" s="950">
        <v>100</v>
      </c>
      <c r="Z226" s="950">
        <v>4</v>
      </c>
      <c r="AA226" s="950">
        <v>4</v>
      </c>
      <c r="AB226" s="950">
        <v>2</v>
      </c>
      <c r="AC226" s="950">
        <v>2</v>
      </c>
      <c r="AD226" s="950">
        <v>4</v>
      </c>
      <c r="AE226" s="950">
        <v>4</v>
      </c>
      <c r="AF226" s="955">
        <f t="shared" si="411"/>
        <v>101</v>
      </c>
      <c r="AG226" s="955">
        <f t="shared" si="412"/>
        <v>401</v>
      </c>
      <c r="AH226" s="955">
        <f t="shared" si="413"/>
        <v>201</v>
      </c>
      <c r="AI226" s="955">
        <v>0</v>
      </c>
      <c r="AJ226" s="955">
        <v>0</v>
      </c>
      <c r="AK226" s="948">
        <f t="shared" si="414"/>
        <v>20.8</v>
      </c>
      <c r="AL226" s="948">
        <f t="shared" si="415"/>
        <v>20.8</v>
      </c>
      <c r="AM226" s="948">
        <f t="shared" si="416"/>
        <v>40.512</v>
      </c>
      <c r="AN226" s="948">
        <f t="shared" si="417"/>
        <v>40.512</v>
      </c>
      <c r="AO226" s="948">
        <f t="shared" si="418"/>
        <v>20.8</v>
      </c>
      <c r="AP226" s="948">
        <f t="shared" si="419"/>
        <v>20.8</v>
      </c>
      <c r="AQ226" s="948">
        <f t="shared" si="420"/>
        <v>1.708</v>
      </c>
      <c r="AR226" s="948">
        <f t="shared" si="421"/>
        <v>0</v>
      </c>
      <c r="AS226" s="948">
        <f t="shared" si="422"/>
        <v>0</v>
      </c>
      <c r="AT226" s="948">
        <f t="shared" si="423"/>
        <v>83.2</v>
      </c>
      <c r="AU226" s="948">
        <f t="shared" si="424"/>
        <v>83.2</v>
      </c>
      <c r="AV226" s="948">
        <f t="shared" si="425"/>
        <v>81.024000000000001</v>
      </c>
      <c r="AW226" s="948">
        <f t="shared" si="426"/>
        <v>81.024000000000001</v>
      </c>
      <c r="AX226" s="948">
        <f t="shared" si="427"/>
        <v>83.2</v>
      </c>
      <c r="AY226" s="948">
        <f t="shared" si="428"/>
        <v>83.2</v>
      </c>
      <c r="AZ226" s="948">
        <f t="shared" si="429"/>
        <v>1200.7239999999999</v>
      </c>
      <c r="BA226" s="948">
        <f t="shared" si="430"/>
        <v>0</v>
      </c>
      <c r="BB226" s="948">
        <f t="shared" si="431"/>
        <v>0</v>
      </c>
      <c r="BC226" s="957">
        <f t="shared" si="432"/>
        <v>1.5786666666666667</v>
      </c>
      <c r="BD226" s="957">
        <f t="shared" si="432"/>
        <v>1.5786666666666667</v>
      </c>
      <c r="BE226" s="957">
        <f t="shared" si="432"/>
        <v>1.5786666666666667</v>
      </c>
      <c r="BF226" s="957">
        <f t="shared" si="432"/>
        <v>1.5786666666666667</v>
      </c>
      <c r="BG226" s="957">
        <f t="shared" si="432"/>
        <v>1.5786666666666667</v>
      </c>
      <c r="BH226" s="957">
        <f t="shared" si="432"/>
        <v>1.5786666666666667</v>
      </c>
      <c r="BI226" s="957">
        <f t="shared" si="432"/>
        <v>0.39466666666666667</v>
      </c>
      <c r="BJ226" s="957">
        <f t="shared" si="432"/>
        <v>0</v>
      </c>
      <c r="BK226" s="957">
        <f t="shared" si="432"/>
        <v>0</v>
      </c>
      <c r="BL226" s="948">
        <f t="shared" si="433"/>
        <v>131.34506666666667</v>
      </c>
      <c r="BM226" s="948">
        <f t="shared" si="433"/>
        <v>131.34506666666667</v>
      </c>
      <c r="BN226" s="948">
        <f t="shared" si="433"/>
        <v>127.909888</v>
      </c>
      <c r="BO226" s="948">
        <f t="shared" si="433"/>
        <v>127.909888</v>
      </c>
      <c r="BP226" s="948">
        <f t="shared" si="433"/>
        <v>131.34506666666667</v>
      </c>
      <c r="BQ226" s="948">
        <f t="shared" si="433"/>
        <v>131.34506666666667</v>
      </c>
      <c r="BR226" s="948">
        <f t="shared" si="433"/>
        <v>473.88573866666661</v>
      </c>
      <c r="BS226" s="948">
        <f>BB226*BK226</f>
        <v>0</v>
      </c>
      <c r="BT226" s="955">
        <f>SUM(BL226:BS226)/K226</f>
        <v>98.670265828092226</v>
      </c>
    </row>
    <row r="227" spans="1:72">
      <c r="A227" s="952">
        <v>5</v>
      </c>
      <c r="B227" s="952" t="s">
        <v>1166</v>
      </c>
      <c r="C227" s="950" t="s">
        <v>1103</v>
      </c>
      <c r="D227" s="950">
        <v>1</v>
      </c>
      <c r="E227" s="950">
        <v>1</v>
      </c>
      <c r="F227" s="948">
        <v>10</v>
      </c>
      <c r="G227" s="948">
        <v>0.3</v>
      </c>
      <c r="H227" s="948">
        <v>0.7</v>
      </c>
      <c r="I227" s="948">
        <v>0.12</v>
      </c>
      <c r="J227" s="948">
        <f t="shared" ref="J227" si="434">H227-I227</f>
        <v>0.57999999999999996</v>
      </c>
      <c r="K227" s="948">
        <f t="shared" ref="K227" si="435">F227*G227*J227*D227*E227</f>
        <v>1.7399999999999998</v>
      </c>
      <c r="L227" s="948">
        <f t="shared" ref="L227" si="436">(2*J227)*F227*E227*D227+(D227*E227*F227*G227)</f>
        <v>14.6</v>
      </c>
      <c r="M227" s="952"/>
      <c r="N227" s="950">
        <v>16</v>
      </c>
      <c r="O227" s="950">
        <v>16</v>
      </c>
      <c r="P227" s="950">
        <v>16</v>
      </c>
      <c r="Q227" s="950">
        <v>16</v>
      </c>
      <c r="R227" s="950">
        <v>16</v>
      </c>
      <c r="S227" s="950">
        <v>16</v>
      </c>
      <c r="T227" s="950">
        <v>8</v>
      </c>
      <c r="U227" s="950"/>
      <c r="V227" s="950"/>
      <c r="W227" s="950">
        <v>200</v>
      </c>
      <c r="X227" s="950">
        <v>100</v>
      </c>
      <c r="Y227" s="950">
        <v>100</v>
      </c>
      <c r="Z227" s="950">
        <v>4</v>
      </c>
      <c r="AA227" s="950">
        <v>4</v>
      </c>
      <c r="AB227" s="950">
        <v>2</v>
      </c>
      <c r="AC227" s="950">
        <v>2</v>
      </c>
      <c r="AD227" s="950">
        <v>4</v>
      </c>
      <c r="AE227" s="950">
        <v>4</v>
      </c>
      <c r="AF227" s="955">
        <f t="shared" si="411"/>
        <v>13.5</v>
      </c>
      <c r="AG227" s="955">
        <f t="shared" si="412"/>
        <v>51</v>
      </c>
      <c r="AH227" s="955">
        <f t="shared" si="413"/>
        <v>26</v>
      </c>
      <c r="AI227" s="955">
        <v>0</v>
      </c>
      <c r="AJ227" s="955">
        <v>0</v>
      </c>
      <c r="AK227" s="948">
        <f t="shared" si="414"/>
        <v>3.3000000000000003</v>
      </c>
      <c r="AL227" s="948">
        <f t="shared" si="415"/>
        <v>3.3000000000000003</v>
      </c>
      <c r="AM227" s="948">
        <f t="shared" si="416"/>
        <v>5.5120000000000005</v>
      </c>
      <c r="AN227" s="948">
        <f t="shared" si="417"/>
        <v>5.5120000000000005</v>
      </c>
      <c r="AO227" s="948">
        <f t="shared" si="418"/>
        <v>3.3000000000000003</v>
      </c>
      <c r="AP227" s="948">
        <f t="shared" si="419"/>
        <v>3.3000000000000003</v>
      </c>
      <c r="AQ227" s="948">
        <f t="shared" si="420"/>
        <v>1.8080000000000001</v>
      </c>
      <c r="AR227" s="948">
        <f t="shared" si="421"/>
        <v>0</v>
      </c>
      <c r="AS227" s="948">
        <f t="shared" si="422"/>
        <v>0</v>
      </c>
      <c r="AT227" s="948">
        <f t="shared" si="423"/>
        <v>13.200000000000001</v>
      </c>
      <c r="AU227" s="948">
        <f t="shared" si="424"/>
        <v>13.200000000000001</v>
      </c>
      <c r="AV227" s="948">
        <f t="shared" si="425"/>
        <v>11.024000000000001</v>
      </c>
      <c r="AW227" s="948">
        <f t="shared" si="426"/>
        <v>11.024000000000001</v>
      </c>
      <c r="AX227" s="948">
        <f t="shared" si="427"/>
        <v>13.200000000000001</v>
      </c>
      <c r="AY227" s="948">
        <f t="shared" si="428"/>
        <v>13.200000000000001</v>
      </c>
      <c r="AZ227" s="948">
        <f t="shared" si="429"/>
        <v>163.624</v>
      </c>
      <c r="BA227" s="948">
        <f t="shared" si="430"/>
        <v>0</v>
      </c>
      <c r="BB227" s="948">
        <f t="shared" si="431"/>
        <v>0</v>
      </c>
      <c r="BC227" s="957">
        <f t="shared" si="432"/>
        <v>1.5786666666666667</v>
      </c>
      <c r="BD227" s="957">
        <f t="shared" si="432"/>
        <v>1.5786666666666667</v>
      </c>
      <c r="BE227" s="957">
        <f t="shared" si="432"/>
        <v>1.5786666666666667</v>
      </c>
      <c r="BF227" s="957">
        <f t="shared" si="432"/>
        <v>1.5786666666666667</v>
      </c>
      <c r="BG227" s="957">
        <f t="shared" si="432"/>
        <v>1.5786666666666667</v>
      </c>
      <c r="BH227" s="957">
        <f t="shared" si="432"/>
        <v>1.5786666666666667</v>
      </c>
      <c r="BI227" s="957">
        <f t="shared" si="432"/>
        <v>0.39466666666666667</v>
      </c>
      <c r="BJ227" s="957">
        <f t="shared" si="432"/>
        <v>0</v>
      </c>
      <c r="BK227" s="957">
        <f t="shared" si="432"/>
        <v>0</v>
      </c>
      <c r="BL227" s="948">
        <f t="shared" si="433"/>
        <v>20.8384</v>
      </c>
      <c r="BM227" s="948">
        <f t="shared" si="433"/>
        <v>20.8384</v>
      </c>
      <c r="BN227" s="948">
        <f t="shared" si="433"/>
        <v>17.403221333333335</v>
      </c>
      <c r="BO227" s="948">
        <f t="shared" si="433"/>
        <v>17.403221333333335</v>
      </c>
      <c r="BP227" s="948">
        <f t="shared" si="433"/>
        <v>20.8384</v>
      </c>
      <c r="BQ227" s="948">
        <f t="shared" si="433"/>
        <v>20.8384</v>
      </c>
      <c r="BR227" s="948">
        <f t="shared" si="433"/>
        <v>64.576938666666663</v>
      </c>
      <c r="BS227" s="948">
        <f>BB227*BK227</f>
        <v>0</v>
      </c>
      <c r="BT227" s="955">
        <f>SUM(BL227:BS227)/K227</f>
        <v>105.02125363984676</v>
      </c>
    </row>
    <row r="228" spans="1:72">
      <c r="A228" s="952"/>
      <c r="B228" s="952"/>
      <c r="C228" s="950"/>
      <c r="D228" s="950"/>
      <c r="E228" s="950"/>
      <c r="F228" s="948"/>
      <c r="G228" s="948"/>
      <c r="H228" s="948"/>
      <c r="I228" s="948"/>
      <c r="J228" s="948"/>
      <c r="K228" s="948"/>
      <c r="L228" s="948"/>
      <c r="M228" s="952"/>
      <c r="N228" s="948"/>
      <c r="O228" s="950"/>
      <c r="P228" s="950"/>
      <c r="Q228" s="950"/>
      <c r="R228" s="950"/>
      <c r="S228" s="950"/>
      <c r="T228" s="950"/>
      <c r="U228" s="950"/>
      <c r="V228" s="950"/>
      <c r="W228" s="950"/>
      <c r="X228" s="950"/>
      <c r="Y228" s="950"/>
      <c r="Z228" s="950"/>
      <c r="AA228" s="950"/>
      <c r="AB228" s="950"/>
      <c r="AC228" s="950"/>
      <c r="AD228" s="950"/>
      <c r="AE228" s="950"/>
      <c r="AF228" s="955"/>
      <c r="AG228" s="955"/>
      <c r="AH228" s="955"/>
      <c r="AI228" s="955"/>
      <c r="AJ228" s="955"/>
      <c r="AK228" s="948"/>
      <c r="AL228" s="948"/>
      <c r="AM228" s="948"/>
      <c r="AN228" s="948"/>
      <c r="AO228" s="948"/>
      <c r="AP228" s="948"/>
      <c r="AQ228" s="948"/>
      <c r="AR228" s="948"/>
      <c r="AS228" s="948"/>
      <c r="AT228" s="948"/>
      <c r="AU228" s="948"/>
      <c r="AV228" s="948"/>
      <c r="AW228" s="948"/>
      <c r="AX228" s="948"/>
      <c r="AY228" s="948"/>
      <c r="AZ228" s="948"/>
      <c r="BA228" s="948"/>
      <c r="BB228" s="948"/>
      <c r="BC228" s="957"/>
      <c r="BD228" s="957"/>
      <c r="BE228" s="957"/>
      <c r="BF228" s="957"/>
      <c r="BG228" s="957"/>
      <c r="BH228" s="957"/>
      <c r="BI228" s="957"/>
      <c r="BJ228" s="957"/>
      <c r="BK228" s="957"/>
      <c r="BL228" s="948"/>
      <c r="BM228" s="948"/>
      <c r="BN228" s="948"/>
      <c r="BO228" s="948"/>
      <c r="BP228" s="948"/>
      <c r="BQ228" s="948"/>
      <c r="BR228" s="948"/>
      <c r="BS228" s="948"/>
      <c r="BT228" s="955"/>
    </row>
    <row r="229" spans="1:72">
      <c r="A229" s="960" t="s">
        <v>8</v>
      </c>
      <c r="B229" s="960" t="s">
        <v>1104</v>
      </c>
      <c r="C229" s="950"/>
      <c r="D229" s="950"/>
      <c r="E229" s="950"/>
      <c r="F229" s="948"/>
      <c r="G229" s="948"/>
      <c r="H229" s="948"/>
      <c r="I229" s="948"/>
      <c r="J229" s="948"/>
      <c r="K229" s="948"/>
      <c r="L229" s="948"/>
      <c r="M229" s="952"/>
      <c r="N229" s="959" t="str">
        <f>A229</f>
        <v>B</v>
      </c>
      <c r="O229" s="959" t="str">
        <f>B229</f>
        <v>Horizontal</v>
      </c>
      <c r="P229" s="950"/>
      <c r="Q229" s="950"/>
      <c r="R229" s="950"/>
      <c r="S229" s="950"/>
      <c r="T229" s="950"/>
      <c r="U229" s="950"/>
      <c r="V229" s="950"/>
      <c r="W229" s="950"/>
      <c r="X229" s="950"/>
      <c r="Y229" s="950"/>
      <c r="Z229" s="950"/>
      <c r="AA229" s="950"/>
      <c r="AB229" s="950"/>
      <c r="AC229" s="950"/>
      <c r="AD229" s="950"/>
      <c r="AE229" s="950"/>
      <c r="AF229" s="955"/>
      <c r="AG229" s="955"/>
      <c r="AH229" s="955"/>
      <c r="AI229" s="955"/>
      <c r="AJ229" s="955"/>
      <c r="AK229" s="948"/>
      <c r="AL229" s="948"/>
      <c r="AM229" s="948"/>
      <c r="AN229" s="948"/>
      <c r="AO229" s="948"/>
      <c r="AP229" s="948"/>
      <c r="AQ229" s="948"/>
      <c r="AR229" s="948"/>
      <c r="AS229" s="948"/>
      <c r="AT229" s="948"/>
      <c r="AU229" s="948"/>
      <c r="AV229" s="948"/>
      <c r="AW229" s="948"/>
      <c r="AX229" s="948"/>
      <c r="AY229" s="948"/>
      <c r="AZ229" s="948"/>
      <c r="BA229" s="948"/>
      <c r="BB229" s="948"/>
      <c r="BC229" s="957"/>
      <c r="BD229" s="957"/>
      <c r="BE229" s="957"/>
      <c r="BF229" s="957"/>
      <c r="BG229" s="957"/>
      <c r="BH229" s="957"/>
      <c r="BI229" s="957"/>
      <c r="BJ229" s="957"/>
      <c r="BK229" s="957"/>
      <c r="BL229" s="948"/>
      <c r="BM229" s="948"/>
      <c r="BN229" s="948"/>
      <c r="BO229" s="948"/>
      <c r="BP229" s="948"/>
      <c r="BQ229" s="948"/>
      <c r="BR229" s="948"/>
      <c r="BS229" s="948"/>
      <c r="BT229" s="955"/>
    </row>
    <row r="230" spans="1:72">
      <c r="A230" s="952">
        <v>1</v>
      </c>
      <c r="B230" s="952" t="s">
        <v>1167</v>
      </c>
      <c r="C230" s="950" t="s">
        <v>1168</v>
      </c>
      <c r="D230" s="950">
        <v>1</v>
      </c>
      <c r="E230" s="950">
        <v>1</v>
      </c>
      <c r="F230" s="948">
        <v>8</v>
      </c>
      <c r="G230" s="948">
        <v>0.25</v>
      </c>
      <c r="H230" s="948">
        <v>0.6</v>
      </c>
      <c r="I230" s="948">
        <v>0.12</v>
      </c>
      <c r="J230" s="948">
        <f t="shared" ref="J230:J235" si="437">H230-I230</f>
        <v>0.48</v>
      </c>
      <c r="K230" s="948">
        <f>F230*G230*J230*D230*E230</f>
        <v>0.96</v>
      </c>
      <c r="L230" s="948">
        <f t="shared" ref="L230" si="438">(2*J230)*F230*E230*D230+(D230*E230*F230*G230)</f>
        <v>9.68</v>
      </c>
      <c r="M230" s="952"/>
      <c r="N230" s="950">
        <v>16</v>
      </c>
      <c r="O230" s="950">
        <v>16</v>
      </c>
      <c r="P230" s="950">
        <v>16</v>
      </c>
      <c r="Q230" s="950">
        <v>16</v>
      </c>
      <c r="R230" s="950">
        <v>16</v>
      </c>
      <c r="S230" s="950">
        <v>16</v>
      </c>
      <c r="T230" s="950">
        <v>8</v>
      </c>
      <c r="U230" s="950"/>
      <c r="V230" s="950"/>
      <c r="W230" s="950">
        <v>200</v>
      </c>
      <c r="X230" s="950">
        <v>100</v>
      </c>
      <c r="Y230" s="950">
        <v>100</v>
      </c>
      <c r="Z230" s="950">
        <v>4</v>
      </c>
      <c r="AA230" s="950">
        <v>4</v>
      </c>
      <c r="AB230" s="950">
        <v>2</v>
      </c>
      <c r="AC230" s="950">
        <v>2</v>
      </c>
      <c r="AD230" s="950">
        <v>4</v>
      </c>
      <c r="AE230" s="950">
        <v>4</v>
      </c>
      <c r="AF230" s="955">
        <f t="shared" ref="AF230:AF235" si="439">(F230/4)/(W230/1000)+1</f>
        <v>11</v>
      </c>
      <c r="AG230" s="955">
        <f t="shared" ref="AG230:AG235" si="440">(F230/2)/(X230/1000)+1</f>
        <v>41</v>
      </c>
      <c r="AH230" s="955">
        <f t="shared" ref="AH230:AH235" si="441">(F230/4)/(Y230/1000)+1</f>
        <v>21</v>
      </c>
      <c r="AI230" s="955">
        <v>0</v>
      </c>
      <c r="AJ230" s="955">
        <v>0</v>
      </c>
      <c r="AK230" s="948">
        <f t="shared" ref="AK230:AK235" si="442">(F230/4)+(20*N230/1000)+(10*N230/1000)+(8*N230/1000)+(6*2*N230/1000)</f>
        <v>2.8000000000000003</v>
      </c>
      <c r="AL230" s="948">
        <f t="shared" ref="AL230:AL235" si="443">(F230/4)+(20*O230/1000)+(10*O230/1000)+(8*O230/1000)+(6*2*O230/1000)</f>
        <v>2.8000000000000003</v>
      </c>
      <c r="AM230" s="948">
        <f t="shared" ref="AM230:AM235" si="444">(F230/2)+(20*P230/1000)+(6*2*P230/1000)</f>
        <v>4.5120000000000005</v>
      </c>
      <c r="AN230" s="948">
        <f t="shared" ref="AN230:AN235" si="445">(F230/2)+(20*Q230/1000)+(6*2*Q230/1000)</f>
        <v>4.5120000000000005</v>
      </c>
      <c r="AO230" s="948">
        <f t="shared" ref="AO230:AO235" si="446">(F230/4)+(20*R230/1000)+(10*R230/1000)+(8*R230/1000)+(6*2*R230/1000)</f>
        <v>2.8000000000000003</v>
      </c>
      <c r="AP230" s="948">
        <f t="shared" ref="AP230:AP235" si="447">(F230/4)+(20*S230/1000)+(10*S230/1000)+(8*S230/1000)+(6*2*S230/1000)</f>
        <v>2.8000000000000003</v>
      </c>
      <c r="AQ230" s="948">
        <f t="shared" ref="AQ230:AQ235" si="448">(2*G230)+(2*H230)+(6*T230/1000)-(8*0.03)</f>
        <v>1.508</v>
      </c>
      <c r="AR230" s="948">
        <f t="shared" ref="AR230:AR235" si="449">((H230)+(2*6*U230/1000)-(2*0.03))*AI230</f>
        <v>0</v>
      </c>
      <c r="AS230" s="948">
        <f t="shared" ref="AS230:AS235" si="450">((G230)+(2*6*V230/1000)-(2*0.03))*AJ230</f>
        <v>0</v>
      </c>
      <c r="AT230" s="948">
        <f t="shared" ref="AT230:AT235" si="451">AK230*Z230*E230*D230</f>
        <v>11.200000000000001</v>
      </c>
      <c r="AU230" s="948">
        <f t="shared" ref="AU230:AU235" si="452">AL230*AA230*E230*D230</f>
        <v>11.200000000000001</v>
      </c>
      <c r="AV230" s="948">
        <f t="shared" ref="AV230:AV235" si="453">AM230*AB230*E230*D230</f>
        <v>9.0240000000000009</v>
      </c>
      <c r="AW230" s="948">
        <f t="shared" ref="AW230:AW235" si="454">AN230*AC230*E230*D230</f>
        <v>9.0240000000000009</v>
      </c>
      <c r="AX230" s="948">
        <f t="shared" ref="AX230:AX235" si="455">AO230*AD230*E230*D230</f>
        <v>11.200000000000001</v>
      </c>
      <c r="AY230" s="948">
        <f t="shared" ref="AY230:AY235" si="456">AP230*AE230*E230*D230</f>
        <v>11.200000000000001</v>
      </c>
      <c r="AZ230" s="948">
        <f t="shared" ref="AZ230:AZ235" si="457">AQ230*(AF230+AG230+AH230)*E230*D230</f>
        <v>110.084</v>
      </c>
      <c r="BA230" s="948">
        <f t="shared" ref="BA230:BA235" si="458">AR230*(AF230+AG230+AH230)*E230*D230</f>
        <v>0</v>
      </c>
      <c r="BB230" s="948">
        <f t="shared" ref="BB230:BB235" si="459">AS230*(AF230+AG230+AH230)*E230*D230</f>
        <v>0</v>
      </c>
      <c r="BC230" s="957">
        <f t="shared" ref="BC230:BK235" si="460">N230*N230*0.074/12</f>
        <v>1.5786666666666667</v>
      </c>
      <c r="BD230" s="957">
        <f t="shared" si="460"/>
        <v>1.5786666666666667</v>
      </c>
      <c r="BE230" s="957">
        <f t="shared" si="460"/>
        <v>1.5786666666666667</v>
      </c>
      <c r="BF230" s="957">
        <f t="shared" si="460"/>
        <v>1.5786666666666667</v>
      </c>
      <c r="BG230" s="957">
        <f t="shared" si="460"/>
        <v>1.5786666666666667</v>
      </c>
      <c r="BH230" s="957">
        <f t="shared" si="460"/>
        <v>1.5786666666666667</v>
      </c>
      <c r="BI230" s="957">
        <f t="shared" si="460"/>
        <v>0.39466666666666667</v>
      </c>
      <c r="BJ230" s="957">
        <f t="shared" si="460"/>
        <v>0</v>
      </c>
      <c r="BK230" s="957">
        <f t="shared" si="460"/>
        <v>0</v>
      </c>
      <c r="BL230" s="948">
        <f t="shared" ref="BL230:BR235" si="461">AT230*BC230</f>
        <v>17.68106666666667</v>
      </c>
      <c r="BM230" s="948">
        <f t="shared" si="461"/>
        <v>17.68106666666667</v>
      </c>
      <c r="BN230" s="948">
        <f t="shared" si="461"/>
        <v>14.245888000000001</v>
      </c>
      <c r="BO230" s="948">
        <f t="shared" si="461"/>
        <v>14.245888000000001</v>
      </c>
      <c r="BP230" s="948">
        <f t="shared" si="461"/>
        <v>17.68106666666667</v>
      </c>
      <c r="BQ230" s="948">
        <f t="shared" si="461"/>
        <v>17.68106666666667</v>
      </c>
      <c r="BR230" s="948">
        <f t="shared" si="461"/>
        <v>43.446485333333335</v>
      </c>
      <c r="BS230" s="948">
        <f t="shared" ref="BS230:BS235" si="462">BB230*BK230</f>
        <v>0</v>
      </c>
      <c r="BT230" s="955">
        <f t="shared" ref="BT230:BT235" si="463">SUM(BL230:BS230)/K230</f>
        <v>148.60680000000002</v>
      </c>
    </row>
    <row r="231" spans="1:72">
      <c r="A231" s="952">
        <v>2</v>
      </c>
      <c r="B231" s="952" t="s">
        <v>1169</v>
      </c>
      <c r="C231" s="950" t="s">
        <v>1159</v>
      </c>
      <c r="D231" s="950">
        <v>1</v>
      </c>
      <c r="E231" s="950">
        <v>1</v>
      </c>
      <c r="F231" s="948">
        <v>28</v>
      </c>
      <c r="G231" s="948">
        <v>0.3</v>
      </c>
      <c r="H231" s="948">
        <v>0.7</v>
      </c>
      <c r="I231" s="948">
        <v>0.12</v>
      </c>
      <c r="J231" s="948">
        <f t="shared" si="437"/>
        <v>0.57999999999999996</v>
      </c>
      <c r="K231" s="948">
        <f t="shared" ref="K231:K235" si="464">F231*G231*J231*D231*E231</f>
        <v>4.8719999999999999</v>
      </c>
      <c r="L231" s="948">
        <f t="shared" ref="L231:L235" si="465">(2*J231)*F231*E231*D231</f>
        <v>32.479999999999997</v>
      </c>
      <c r="M231" s="952"/>
      <c r="N231" s="950">
        <v>16</v>
      </c>
      <c r="O231" s="950">
        <v>16</v>
      </c>
      <c r="P231" s="950">
        <v>16</v>
      </c>
      <c r="Q231" s="950">
        <v>16</v>
      </c>
      <c r="R231" s="950">
        <v>16</v>
      </c>
      <c r="S231" s="950">
        <v>16</v>
      </c>
      <c r="T231" s="950">
        <v>8</v>
      </c>
      <c r="U231" s="950"/>
      <c r="V231" s="950"/>
      <c r="W231" s="950">
        <v>200</v>
      </c>
      <c r="X231" s="950">
        <v>100</v>
      </c>
      <c r="Y231" s="950">
        <v>100</v>
      </c>
      <c r="Z231" s="950">
        <v>4</v>
      </c>
      <c r="AA231" s="950">
        <v>4</v>
      </c>
      <c r="AB231" s="950">
        <v>2</v>
      </c>
      <c r="AC231" s="950">
        <v>2</v>
      </c>
      <c r="AD231" s="950">
        <v>4</v>
      </c>
      <c r="AE231" s="950">
        <v>4</v>
      </c>
      <c r="AF231" s="955">
        <f t="shared" si="439"/>
        <v>36</v>
      </c>
      <c r="AG231" s="955">
        <f t="shared" si="440"/>
        <v>141</v>
      </c>
      <c r="AH231" s="955">
        <f t="shared" si="441"/>
        <v>71</v>
      </c>
      <c r="AI231" s="955">
        <v>0</v>
      </c>
      <c r="AJ231" s="955">
        <v>0</v>
      </c>
      <c r="AK231" s="948">
        <f t="shared" si="442"/>
        <v>7.8000000000000007</v>
      </c>
      <c r="AL231" s="948">
        <f t="shared" si="443"/>
        <v>7.8000000000000007</v>
      </c>
      <c r="AM231" s="948">
        <f t="shared" si="444"/>
        <v>14.512</v>
      </c>
      <c r="AN231" s="948">
        <f t="shared" si="445"/>
        <v>14.512</v>
      </c>
      <c r="AO231" s="948">
        <f t="shared" si="446"/>
        <v>7.8000000000000007</v>
      </c>
      <c r="AP231" s="948">
        <f t="shared" si="447"/>
        <v>7.8000000000000007</v>
      </c>
      <c r="AQ231" s="948">
        <f t="shared" si="448"/>
        <v>1.8080000000000001</v>
      </c>
      <c r="AR231" s="948">
        <f t="shared" si="449"/>
        <v>0</v>
      </c>
      <c r="AS231" s="948">
        <f t="shared" si="450"/>
        <v>0</v>
      </c>
      <c r="AT231" s="948">
        <f t="shared" si="451"/>
        <v>31.200000000000003</v>
      </c>
      <c r="AU231" s="948">
        <f t="shared" si="452"/>
        <v>31.200000000000003</v>
      </c>
      <c r="AV231" s="948">
        <f t="shared" si="453"/>
        <v>29.024000000000001</v>
      </c>
      <c r="AW231" s="948">
        <f t="shared" si="454"/>
        <v>29.024000000000001</v>
      </c>
      <c r="AX231" s="948">
        <f t="shared" si="455"/>
        <v>31.200000000000003</v>
      </c>
      <c r="AY231" s="948">
        <f t="shared" si="456"/>
        <v>31.200000000000003</v>
      </c>
      <c r="AZ231" s="948">
        <f t="shared" si="457"/>
        <v>448.38400000000001</v>
      </c>
      <c r="BA231" s="948">
        <f t="shared" si="458"/>
        <v>0</v>
      </c>
      <c r="BB231" s="948">
        <f t="shared" si="459"/>
        <v>0</v>
      </c>
      <c r="BC231" s="957">
        <f t="shared" si="460"/>
        <v>1.5786666666666667</v>
      </c>
      <c r="BD231" s="957">
        <f t="shared" si="460"/>
        <v>1.5786666666666667</v>
      </c>
      <c r="BE231" s="957">
        <f t="shared" si="460"/>
        <v>1.5786666666666667</v>
      </c>
      <c r="BF231" s="957">
        <f t="shared" si="460"/>
        <v>1.5786666666666667</v>
      </c>
      <c r="BG231" s="957">
        <f t="shared" si="460"/>
        <v>1.5786666666666667</v>
      </c>
      <c r="BH231" s="957">
        <f t="shared" si="460"/>
        <v>1.5786666666666667</v>
      </c>
      <c r="BI231" s="957">
        <f t="shared" si="460"/>
        <v>0.39466666666666667</v>
      </c>
      <c r="BJ231" s="957">
        <f t="shared" si="460"/>
        <v>0</v>
      </c>
      <c r="BK231" s="957">
        <f t="shared" si="460"/>
        <v>0</v>
      </c>
      <c r="BL231" s="948">
        <f t="shared" si="461"/>
        <v>49.254400000000004</v>
      </c>
      <c r="BM231" s="948">
        <f t="shared" si="461"/>
        <v>49.254400000000004</v>
      </c>
      <c r="BN231" s="948">
        <f t="shared" si="461"/>
        <v>45.819221333333331</v>
      </c>
      <c r="BO231" s="948">
        <f t="shared" si="461"/>
        <v>45.819221333333331</v>
      </c>
      <c r="BP231" s="948">
        <f t="shared" si="461"/>
        <v>49.254400000000004</v>
      </c>
      <c r="BQ231" s="948">
        <f t="shared" si="461"/>
        <v>49.254400000000004</v>
      </c>
      <c r="BR231" s="948">
        <f t="shared" si="461"/>
        <v>176.96221866666667</v>
      </c>
      <c r="BS231" s="948">
        <f t="shared" si="462"/>
        <v>0</v>
      </c>
      <c r="BT231" s="955">
        <f t="shared" si="463"/>
        <v>95.57025068418173</v>
      </c>
    </row>
    <row r="232" spans="1:72">
      <c r="A232" s="952">
        <v>3</v>
      </c>
      <c r="B232" s="952" t="s">
        <v>1170</v>
      </c>
      <c r="C232" s="950" t="s">
        <v>1171</v>
      </c>
      <c r="D232" s="950">
        <v>1</v>
      </c>
      <c r="E232" s="950">
        <v>1</v>
      </c>
      <c r="F232" s="948">
        <v>80</v>
      </c>
      <c r="G232" s="948">
        <v>0.25</v>
      </c>
      <c r="H232" s="948">
        <v>0.6</v>
      </c>
      <c r="I232" s="948">
        <v>0.12</v>
      </c>
      <c r="J232" s="948">
        <f t="shared" si="437"/>
        <v>0.48</v>
      </c>
      <c r="K232" s="948">
        <f t="shared" si="464"/>
        <v>9.6</v>
      </c>
      <c r="L232" s="948">
        <f t="shared" si="465"/>
        <v>76.8</v>
      </c>
      <c r="M232" s="952"/>
      <c r="N232" s="950">
        <v>16</v>
      </c>
      <c r="O232" s="950">
        <v>16</v>
      </c>
      <c r="P232" s="950">
        <v>16</v>
      </c>
      <c r="Q232" s="950">
        <v>16</v>
      </c>
      <c r="R232" s="950">
        <v>16</v>
      </c>
      <c r="S232" s="950">
        <v>16</v>
      </c>
      <c r="T232" s="950">
        <v>8</v>
      </c>
      <c r="U232" s="950"/>
      <c r="V232" s="950"/>
      <c r="W232" s="950">
        <v>200</v>
      </c>
      <c r="X232" s="950">
        <v>100</v>
      </c>
      <c r="Y232" s="950">
        <v>100</v>
      </c>
      <c r="Z232" s="950">
        <v>9</v>
      </c>
      <c r="AA232" s="950">
        <v>6</v>
      </c>
      <c r="AB232" s="950">
        <v>4</v>
      </c>
      <c r="AC232" s="950">
        <v>4</v>
      </c>
      <c r="AD232" s="950">
        <v>9</v>
      </c>
      <c r="AE232" s="950">
        <v>6</v>
      </c>
      <c r="AF232" s="955">
        <f t="shared" si="439"/>
        <v>101</v>
      </c>
      <c r="AG232" s="955">
        <f t="shared" si="440"/>
        <v>401</v>
      </c>
      <c r="AH232" s="955">
        <f t="shared" si="441"/>
        <v>201</v>
      </c>
      <c r="AI232" s="955">
        <v>0</v>
      </c>
      <c r="AJ232" s="955">
        <v>0</v>
      </c>
      <c r="AK232" s="948">
        <f t="shared" si="442"/>
        <v>20.8</v>
      </c>
      <c r="AL232" s="948">
        <f t="shared" si="443"/>
        <v>20.8</v>
      </c>
      <c r="AM232" s="948">
        <f t="shared" si="444"/>
        <v>40.512</v>
      </c>
      <c r="AN232" s="948">
        <f t="shared" si="445"/>
        <v>40.512</v>
      </c>
      <c r="AO232" s="948">
        <f t="shared" si="446"/>
        <v>20.8</v>
      </c>
      <c r="AP232" s="948">
        <f t="shared" si="447"/>
        <v>20.8</v>
      </c>
      <c r="AQ232" s="948">
        <f t="shared" si="448"/>
        <v>1.508</v>
      </c>
      <c r="AR232" s="948">
        <f t="shared" si="449"/>
        <v>0</v>
      </c>
      <c r="AS232" s="948">
        <f t="shared" si="450"/>
        <v>0</v>
      </c>
      <c r="AT232" s="948">
        <f t="shared" si="451"/>
        <v>187.20000000000002</v>
      </c>
      <c r="AU232" s="948">
        <f t="shared" si="452"/>
        <v>124.80000000000001</v>
      </c>
      <c r="AV232" s="948">
        <f t="shared" si="453"/>
        <v>162.048</v>
      </c>
      <c r="AW232" s="948">
        <f t="shared" si="454"/>
        <v>162.048</v>
      </c>
      <c r="AX232" s="948">
        <f t="shared" si="455"/>
        <v>187.20000000000002</v>
      </c>
      <c r="AY232" s="948">
        <f t="shared" si="456"/>
        <v>124.80000000000001</v>
      </c>
      <c r="AZ232" s="948">
        <f t="shared" si="457"/>
        <v>1060.124</v>
      </c>
      <c r="BA232" s="948">
        <f t="shared" si="458"/>
        <v>0</v>
      </c>
      <c r="BB232" s="948">
        <f t="shared" si="459"/>
        <v>0</v>
      </c>
      <c r="BC232" s="957">
        <f t="shared" si="460"/>
        <v>1.5786666666666667</v>
      </c>
      <c r="BD232" s="957">
        <f t="shared" si="460"/>
        <v>1.5786666666666667</v>
      </c>
      <c r="BE232" s="957">
        <f t="shared" si="460"/>
        <v>1.5786666666666667</v>
      </c>
      <c r="BF232" s="957">
        <f t="shared" si="460"/>
        <v>1.5786666666666667</v>
      </c>
      <c r="BG232" s="957">
        <f t="shared" si="460"/>
        <v>1.5786666666666667</v>
      </c>
      <c r="BH232" s="957">
        <f t="shared" si="460"/>
        <v>1.5786666666666667</v>
      </c>
      <c r="BI232" s="957">
        <f t="shared" si="460"/>
        <v>0.39466666666666667</v>
      </c>
      <c r="BJ232" s="957">
        <f t="shared" si="460"/>
        <v>0</v>
      </c>
      <c r="BK232" s="957">
        <f t="shared" si="460"/>
        <v>0</v>
      </c>
      <c r="BL232" s="948">
        <f t="shared" si="461"/>
        <v>295.52640000000002</v>
      </c>
      <c r="BM232" s="948">
        <f t="shared" si="461"/>
        <v>197.01760000000002</v>
      </c>
      <c r="BN232" s="948">
        <f t="shared" si="461"/>
        <v>255.81977599999999</v>
      </c>
      <c r="BO232" s="948">
        <f t="shared" si="461"/>
        <v>255.81977599999999</v>
      </c>
      <c r="BP232" s="948">
        <f t="shared" si="461"/>
        <v>295.52640000000002</v>
      </c>
      <c r="BQ232" s="948">
        <f t="shared" si="461"/>
        <v>197.01760000000002</v>
      </c>
      <c r="BR232" s="948">
        <f t="shared" si="461"/>
        <v>418.39560533333332</v>
      </c>
      <c r="BS232" s="948">
        <f t="shared" si="462"/>
        <v>0</v>
      </c>
      <c r="BT232" s="955">
        <f t="shared" si="463"/>
        <v>199.49199555555555</v>
      </c>
    </row>
    <row r="233" spans="1:72">
      <c r="A233" s="952">
        <v>4</v>
      </c>
      <c r="B233" s="952" t="s">
        <v>1164</v>
      </c>
      <c r="C233" s="950" t="s">
        <v>1172</v>
      </c>
      <c r="D233" s="950">
        <v>1</v>
      </c>
      <c r="E233" s="950">
        <v>1</v>
      </c>
      <c r="F233" s="948">
        <v>24</v>
      </c>
      <c r="G233" s="948">
        <v>0.35</v>
      </c>
      <c r="H233" s="948">
        <v>0.8</v>
      </c>
      <c r="I233" s="948">
        <v>0.12</v>
      </c>
      <c r="J233" s="948">
        <f t="shared" si="437"/>
        <v>0.68</v>
      </c>
      <c r="K233" s="948">
        <f t="shared" si="464"/>
        <v>5.7119999999999997</v>
      </c>
      <c r="L233" s="948">
        <f t="shared" si="465"/>
        <v>32.64</v>
      </c>
      <c r="M233" s="952"/>
      <c r="N233" s="950">
        <v>25</v>
      </c>
      <c r="O233" s="950">
        <v>25</v>
      </c>
      <c r="P233" s="950">
        <v>25</v>
      </c>
      <c r="Q233" s="950">
        <v>25</v>
      </c>
      <c r="R233" s="950">
        <v>25</v>
      </c>
      <c r="S233" s="950">
        <v>25</v>
      </c>
      <c r="T233" s="950">
        <v>8</v>
      </c>
      <c r="U233" s="950"/>
      <c r="V233" s="950"/>
      <c r="W233" s="950">
        <v>200</v>
      </c>
      <c r="X233" s="950">
        <v>100</v>
      </c>
      <c r="Y233" s="950">
        <v>100</v>
      </c>
      <c r="Z233" s="950">
        <v>9</v>
      </c>
      <c r="AA233" s="950">
        <v>6</v>
      </c>
      <c r="AB233" s="950">
        <v>4</v>
      </c>
      <c r="AC233" s="950">
        <v>4</v>
      </c>
      <c r="AD233" s="950">
        <v>9</v>
      </c>
      <c r="AE233" s="950">
        <v>6</v>
      </c>
      <c r="AF233" s="955">
        <f t="shared" si="439"/>
        <v>31</v>
      </c>
      <c r="AG233" s="955">
        <f t="shared" si="440"/>
        <v>121</v>
      </c>
      <c r="AH233" s="955">
        <f t="shared" si="441"/>
        <v>61</v>
      </c>
      <c r="AI233" s="955">
        <v>0</v>
      </c>
      <c r="AJ233" s="955">
        <v>0</v>
      </c>
      <c r="AK233" s="948">
        <f t="shared" si="442"/>
        <v>7.25</v>
      </c>
      <c r="AL233" s="948">
        <f t="shared" si="443"/>
        <v>7.25</v>
      </c>
      <c r="AM233" s="948">
        <f t="shared" si="444"/>
        <v>12.8</v>
      </c>
      <c r="AN233" s="948">
        <f t="shared" si="445"/>
        <v>12.8</v>
      </c>
      <c r="AO233" s="948">
        <f t="shared" si="446"/>
        <v>7.25</v>
      </c>
      <c r="AP233" s="948">
        <f t="shared" si="447"/>
        <v>7.25</v>
      </c>
      <c r="AQ233" s="948">
        <f t="shared" si="448"/>
        <v>2.1079999999999997</v>
      </c>
      <c r="AR233" s="948">
        <f t="shared" si="449"/>
        <v>0</v>
      </c>
      <c r="AS233" s="948">
        <f t="shared" si="450"/>
        <v>0</v>
      </c>
      <c r="AT233" s="948">
        <f t="shared" si="451"/>
        <v>65.25</v>
      </c>
      <c r="AU233" s="948">
        <f t="shared" si="452"/>
        <v>43.5</v>
      </c>
      <c r="AV233" s="948">
        <f t="shared" si="453"/>
        <v>51.2</v>
      </c>
      <c r="AW233" s="948">
        <f t="shared" si="454"/>
        <v>51.2</v>
      </c>
      <c r="AX233" s="948">
        <f t="shared" si="455"/>
        <v>65.25</v>
      </c>
      <c r="AY233" s="948">
        <f t="shared" si="456"/>
        <v>43.5</v>
      </c>
      <c r="AZ233" s="948">
        <f t="shared" si="457"/>
        <v>449.00399999999991</v>
      </c>
      <c r="BA233" s="948">
        <f t="shared" si="458"/>
        <v>0</v>
      </c>
      <c r="BB233" s="948">
        <f t="shared" si="459"/>
        <v>0</v>
      </c>
      <c r="BC233" s="957">
        <f t="shared" si="460"/>
        <v>3.8541666666666665</v>
      </c>
      <c r="BD233" s="957">
        <f t="shared" si="460"/>
        <v>3.8541666666666665</v>
      </c>
      <c r="BE233" s="957">
        <f t="shared" si="460"/>
        <v>3.8541666666666665</v>
      </c>
      <c r="BF233" s="957">
        <f t="shared" si="460"/>
        <v>3.8541666666666665</v>
      </c>
      <c r="BG233" s="957">
        <f t="shared" si="460"/>
        <v>3.8541666666666665</v>
      </c>
      <c r="BH233" s="957">
        <f t="shared" si="460"/>
        <v>3.8541666666666665</v>
      </c>
      <c r="BI233" s="957">
        <f t="shared" si="460"/>
        <v>0.39466666666666667</v>
      </c>
      <c r="BJ233" s="957">
        <f t="shared" si="460"/>
        <v>0</v>
      </c>
      <c r="BK233" s="957">
        <f t="shared" si="460"/>
        <v>0</v>
      </c>
      <c r="BL233" s="948">
        <f t="shared" si="461"/>
        <v>251.484375</v>
      </c>
      <c r="BM233" s="948">
        <f t="shared" si="461"/>
        <v>167.65625</v>
      </c>
      <c r="BN233" s="948">
        <f t="shared" si="461"/>
        <v>197.33333333333334</v>
      </c>
      <c r="BO233" s="948">
        <f t="shared" si="461"/>
        <v>197.33333333333334</v>
      </c>
      <c r="BP233" s="948">
        <f t="shared" si="461"/>
        <v>251.484375</v>
      </c>
      <c r="BQ233" s="948">
        <f t="shared" si="461"/>
        <v>167.65625</v>
      </c>
      <c r="BR233" s="948">
        <f t="shared" si="461"/>
        <v>177.20691199999996</v>
      </c>
      <c r="BS233" s="948">
        <f t="shared" si="462"/>
        <v>0</v>
      </c>
      <c r="BT233" s="955">
        <f t="shared" si="463"/>
        <v>246.8758453548086</v>
      </c>
    </row>
    <row r="234" spans="1:72">
      <c r="A234" s="952">
        <v>5</v>
      </c>
      <c r="B234" s="952" t="s">
        <v>1173</v>
      </c>
      <c r="C234" s="950" t="s">
        <v>1174</v>
      </c>
      <c r="D234" s="950">
        <v>1</v>
      </c>
      <c r="E234" s="950">
        <v>1</v>
      </c>
      <c r="F234" s="948">
        <v>4.75</v>
      </c>
      <c r="G234" s="948">
        <v>0.25</v>
      </c>
      <c r="H234" s="948">
        <v>0.6</v>
      </c>
      <c r="I234" s="948">
        <v>0.12</v>
      </c>
      <c r="J234" s="948">
        <f t="shared" si="437"/>
        <v>0.48</v>
      </c>
      <c r="K234" s="948">
        <f t="shared" si="464"/>
        <v>0.56999999999999995</v>
      </c>
      <c r="L234" s="948">
        <f t="shared" si="465"/>
        <v>4.5599999999999996</v>
      </c>
      <c r="M234" s="952"/>
      <c r="N234" s="950">
        <v>16</v>
      </c>
      <c r="O234" s="950">
        <v>16</v>
      </c>
      <c r="P234" s="950">
        <v>16</v>
      </c>
      <c r="Q234" s="950">
        <v>16</v>
      </c>
      <c r="R234" s="950">
        <v>16</v>
      </c>
      <c r="S234" s="950">
        <v>16</v>
      </c>
      <c r="T234" s="950">
        <v>8</v>
      </c>
      <c r="U234" s="950"/>
      <c r="V234" s="950"/>
      <c r="W234" s="950">
        <v>200</v>
      </c>
      <c r="X234" s="950">
        <v>100</v>
      </c>
      <c r="Y234" s="950">
        <v>100</v>
      </c>
      <c r="Z234" s="950">
        <v>9</v>
      </c>
      <c r="AA234" s="950">
        <v>6</v>
      </c>
      <c r="AB234" s="950">
        <v>4</v>
      </c>
      <c r="AC234" s="950">
        <v>4</v>
      </c>
      <c r="AD234" s="950">
        <v>9</v>
      </c>
      <c r="AE234" s="950">
        <v>6</v>
      </c>
      <c r="AF234" s="955">
        <f t="shared" si="439"/>
        <v>6.9375</v>
      </c>
      <c r="AG234" s="955">
        <f t="shared" si="440"/>
        <v>24.75</v>
      </c>
      <c r="AH234" s="955">
        <f t="shared" si="441"/>
        <v>12.875</v>
      </c>
      <c r="AI234" s="955">
        <v>0</v>
      </c>
      <c r="AJ234" s="955">
        <v>0</v>
      </c>
      <c r="AK234" s="948">
        <f t="shared" si="442"/>
        <v>1.9875</v>
      </c>
      <c r="AL234" s="948">
        <f t="shared" si="443"/>
        <v>1.9875</v>
      </c>
      <c r="AM234" s="948">
        <f t="shared" si="444"/>
        <v>2.887</v>
      </c>
      <c r="AN234" s="948">
        <f t="shared" si="445"/>
        <v>2.887</v>
      </c>
      <c r="AO234" s="948">
        <f t="shared" si="446"/>
        <v>1.9875</v>
      </c>
      <c r="AP234" s="948">
        <f t="shared" si="447"/>
        <v>1.9875</v>
      </c>
      <c r="AQ234" s="948">
        <f t="shared" si="448"/>
        <v>1.508</v>
      </c>
      <c r="AR234" s="948">
        <f t="shared" si="449"/>
        <v>0</v>
      </c>
      <c r="AS234" s="948">
        <f t="shared" si="450"/>
        <v>0</v>
      </c>
      <c r="AT234" s="948">
        <f t="shared" si="451"/>
        <v>17.887499999999999</v>
      </c>
      <c r="AU234" s="948">
        <f t="shared" si="452"/>
        <v>11.925000000000001</v>
      </c>
      <c r="AV234" s="948">
        <f t="shared" si="453"/>
        <v>11.548</v>
      </c>
      <c r="AW234" s="948">
        <f t="shared" si="454"/>
        <v>11.548</v>
      </c>
      <c r="AX234" s="948">
        <f t="shared" si="455"/>
        <v>17.887499999999999</v>
      </c>
      <c r="AY234" s="948">
        <f t="shared" si="456"/>
        <v>11.925000000000001</v>
      </c>
      <c r="AZ234" s="948">
        <f t="shared" si="457"/>
        <v>67.200249999999997</v>
      </c>
      <c r="BA234" s="948">
        <f t="shared" si="458"/>
        <v>0</v>
      </c>
      <c r="BB234" s="948">
        <f t="shared" si="459"/>
        <v>0</v>
      </c>
      <c r="BC234" s="957">
        <f t="shared" si="460"/>
        <v>1.5786666666666667</v>
      </c>
      <c r="BD234" s="957">
        <f t="shared" si="460"/>
        <v>1.5786666666666667</v>
      </c>
      <c r="BE234" s="957">
        <f t="shared" si="460"/>
        <v>1.5786666666666667</v>
      </c>
      <c r="BF234" s="957">
        <f t="shared" si="460"/>
        <v>1.5786666666666667</v>
      </c>
      <c r="BG234" s="957">
        <f t="shared" si="460"/>
        <v>1.5786666666666667</v>
      </c>
      <c r="BH234" s="957">
        <f t="shared" si="460"/>
        <v>1.5786666666666667</v>
      </c>
      <c r="BI234" s="957">
        <f t="shared" si="460"/>
        <v>0.39466666666666667</v>
      </c>
      <c r="BJ234" s="957">
        <f t="shared" si="460"/>
        <v>0</v>
      </c>
      <c r="BK234" s="957">
        <f t="shared" si="460"/>
        <v>0</v>
      </c>
      <c r="BL234" s="948">
        <f t="shared" si="461"/>
        <v>28.238399999999999</v>
      </c>
      <c r="BM234" s="948">
        <f t="shared" si="461"/>
        <v>18.825600000000001</v>
      </c>
      <c r="BN234" s="948">
        <f t="shared" si="461"/>
        <v>18.230442666666665</v>
      </c>
      <c r="BO234" s="948">
        <f t="shared" si="461"/>
        <v>18.230442666666665</v>
      </c>
      <c r="BP234" s="948">
        <f t="shared" si="461"/>
        <v>28.238399999999999</v>
      </c>
      <c r="BQ234" s="948">
        <f t="shared" si="461"/>
        <v>18.825600000000001</v>
      </c>
      <c r="BR234" s="948">
        <f t="shared" si="461"/>
        <v>26.521698666666666</v>
      </c>
      <c r="BS234" s="948">
        <f t="shared" si="462"/>
        <v>0</v>
      </c>
      <c r="BT234" s="955">
        <f t="shared" si="463"/>
        <v>275.63260350877198</v>
      </c>
    </row>
    <row r="235" spans="1:72">
      <c r="A235" s="952">
        <v>6</v>
      </c>
      <c r="B235" s="952" t="s">
        <v>1175</v>
      </c>
      <c r="C235" s="950" t="s">
        <v>1176</v>
      </c>
      <c r="D235" s="950">
        <v>1</v>
      </c>
      <c r="E235" s="950">
        <v>1</v>
      </c>
      <c r="F235" s="948">
        <v>35.4</v>
      </c>
      <c r="G235" s="948">
        <v>0.25</v>
      </c>
      <c r="H235" s="948">
        <v>0.6</v>
      </c>
      <c r="I235" s="948">
        <v>0.12</v>
      </c>
      <c r="J235" s="948">
        <f t="shared" si="437"/>
        <v>0.48</v>
      </c>
      <c r="K235" s="948">
        <f t="shared" si="464"/>
        <v>4.2479999999999993</v>
      </c>
      <c r="L235" s="948">
        <f t="shared" si="465"/>
        <v>33.983999999999995</v>
      </c>
      <c r="M235" s="952"/>
      <c r="N235" s="950">
        <v>16</v>
      </c>
      <c r="O235" s="950">
        <v>16</v>
      </c>
      <c r="P235" s="950">
        <v>16</v>
      </c>
      <c r="Q235" s="950">
        <v>16</v>
      </c>
      <c r="R235" s="950">
        <v>16</v>
      </c>
      <c r="S235" s="950">
        <v>16</v>
      </c>
      <c r="T235" s="950">
        <v>8</v>
      </c>
      <c r="U235" s="950"/>
      <c r="V235" s="950"/>
      <c r="W235" s="950">
        <v>200</v>
      </c>
      <c r="X235" s="950">
        <v>100</v>
      </c>
      <c r="Y235" s="950">
        <v>100</v>
      </c>
      <c r="Z235" s="950">
        <v>9</v>
      </c>
      <c r="AA235" s="950">
        <v>6</v>
      </c>
      <c r="AB235" s="950">
        <v>4</v>
      </c>
      <c r="AC235" s="950">
        <v>4</v>
      </c>
      <c r="AD235" s="950">
        <v>9</v>
      </c>
      <c r="AE235" s="950">
        <v>6</v>
      </c>
      <c r="AF235" s="955">
        <f t="shared" si="439"/>
        <v>45.249999999999993</v>
      </c>
      <c r="AG235" s="955">
        <f t="shared" si="440"/>
        <v>177.99999999999997</v>
      </c>
      <c r="AH235" s="955">
        <f t="shared" si="441"/>
        <v>89.499999999999986</v>
      </c>
      <c r="AI235" s="955">
        <v>0</v>
      </c>
      <c r="AJ235" s="955">
        <v>0</v>
      </c>
      <c r="AK235" s="948">
        <f t="shared" si="442"/>
        <v>9.65</v>
      </c>
      <c r="AL235" s="948">
        <f t="shared" si="443"/>
        <v>9.65</v>
      </c>
      <c r="AM235" s="948">
        <f t="shared" si="444"/>
        <v>18.212</v>
      </c>
      <c r="AN235" s="948">
        <f t="shared" si="445"/>
        <v>18.212</v>
      </c>
      <c r="AO235" s="948">
        <f t="shared" si="446"/>
        <v>9.65</v>
      </c>
      <c r="AP235" s="948">
        <f t="shared" si="447"/>
        <v>9.65</v>
      </c>
      <c r="AQ235" s="948">
        <f t="shared" si="448"/>
        <v>1.508</v>
      </c>
      <c r="AR235" s="948">
        <f t="shared" si="449"/>
        <v>0</v>
      </c>
      <c r="AS235" s="948">
        <f t="shared" si="450"/>
        <v>0</v>
      </c>
      <c r="AT235" s="948">
        <f t="shared" si="451"/>
        <v>86.850000000000009</v>
      </c>
      <c r="AU235" s="948">
        <f t="shared" si="452"/>
        <v>57.900000000000006</v>
      </c>
      <c r="AV235" s="948">
        <f t="shared" si="453"/>
        <v>72.847999999999999</v>
      </c>
      <c r="AW235" s="948">
        <f t="shared" si="454"/>
        <v>72.847999999999999</v>
      </c>
      <c r="AX235" s="948">
        <f t="shared" si="455"/>
        <v>86.850000000000009</v>
      </c>
      <c r="AY235" s="948">
        <f t="shared" si="456"/>
        <v>57.900000000000006</v>
      </c>
      <c r="AZ235" s="948">
        <f t="shared" si="457"/>
        <v>471.6269999999999</v>
      </c>
      <c r="BA235" s="948">
        <f t="shared" si="458"/>
        <v>0</v>
      </c>
      <c r="BB235" s="948">
        <f t="shared" si="459"/>
        <v>0</v>
      </c>
      <c r="BC235" s="957">
        <f t="shared" si="460"/>
        <v>1.5786666666666667</v>
      </c>
      <c r="BD235" s="957">
        <f t="shared" si="460"/>
        <v>1.5786666666666667</v>
      </c>
      <c r="BE235" s="957">
        <f t="shared" si="460"/>
        <v>1.5786666666666667</v>
      </c>
      <c r="BF235" s="957">
        <f t="shared" si="460"/>
        <v>1.5786666666666667</v>
      </c>
      <c r="BG235" s="957">
        <f t="shared" si="460"/>
        <v>1.5786666666666667</v>
      </c>
      <c r="BH235" s="957">
        <f t="shared" si="460"/>
        <v>1.5786666666666667</v>
      </c>
      <c r="BI235" s="957">
        <f t="shared" si="460"/>
        <v>0.39466666666666667</v>
      </c>
      <c r="BJ235" s="957">
        <f t="shared" si="460"/>
        <v>0</v>
      </c>
      <c r="BK235" s="957">
        <f t="shared" si="460"/>
        <v>0</v>
      </c>
      <c r="BL235" s="948">
        <f t="shared" si="461"/>
        <v>137.10720000000001</v>
      </c>
      <c r="BM235" s="948">
        <f t="shared" si="461"/>
        <v>91.404800000000009</v>
      </c>
      <c r="BN235" s="948">
        <f t="shared" si="461"/>
        <v>115.00270933333333</v>
      </c>
      <c r="BO235" s="948">
        <f t="shared" si="461"/>
        <v>115.00270933333333</v>
      </c>
      <c r="BP235" s="948">
        <f t="shared" si="461"/>
        <v>137.10720000000001</v>
      </c>
      <c r="BQ235" s="948">
        <f t="shared" si="461"/>
        <v>91.404800000000009</v>
      </c>
      <c r="BR235" s="948">
        <f t="shared" si="461"/>
        <v>186.13545599999995</v>
      </c>
      <c r="BS235" s="948">
        <f t="shared" si="462"/>
        <v>0</v>
      </c>
      <c r="BT235" s="955">
        <f t="shared" si="463"/>
        <v>205.54728688010044</v>
      </c>
    </row>
    <row r="236" spans="1:72">
      <c r="A236" s="952">
        <v>7</v>
      </c>
      <c r="B236" s="952" t="s">
        <v>1177</v>
      </c>
      <c r="C236" s="950" t="s">
        <v>1178</v>
      </c>
      <c r="D236" s="950">
        <v>1</v>
      </c>
      <c r="E236" s="950">
        <v>1</v>
      </c>
      <c r="F236" s="948">
        <v>5.4</v>
      </c>
      <c r="G236" s="948">
        <v>0.25</v>
      </c>
      <c r="H236" s="948">
        <v>0.6</v>
      </c>
      <c r="I236" s="948">
        <v>0.12</v>
      </c>
      <c r="J236" s="948">
        <v>0.48</v>
      </c>
      <c r="K236" s="948">
        <v>0.64800000000000002</v>
      </c>
      <c r="L236" s="948">
        <v>5.1840000000000002</v>
      </c>
      <c r="M236" s="952"/>
      <c r="N236" s="950">
        <v>16</v>
      </c>
      <c r="O236" s="950">
        <v>16</v>
      </c>
      <c r="P236" s="950">
        <v>16</v>
      </c>
      <c r="Q236" s="950">
        <v>16</v>
      </c>
      <c r="R236" s="950">
        <v>16</v>
      </c>
      <c r="S236" s="950">
        <v>16</v>
      </c>
      <c r="T236" s="950">
        <v>8</v>
      </c>
      <c r="U236" s="950"/>
      <c r="V236" s="950"/>
      <c r="W236" s="950">
        <v>200</v>
      </c>
      <c r="X236" s="950">
        <v>100</v>
      </c>
      <c r="Y236" s="950">
        <v>100</v>
      </c>
      <c r="Z236" s="950">
        <v>9</v>
      </c>
      <c r="AA236" s="950">
        <v>6</v>
      </c>
      <c r="AB236" s="950">
        <v>4</v>
      </c>
      <c r="AC236" s="950">
        <v>4</v>
      </c>
      <c r="AD236" s="950">
        <v>9</v>
      </c>
      <c r="AE236" s="950">
        <v>6</v>
      </c>
      <c r="AF236" s="955">
        <v>7.75</v>
      </c>
      <c r="AG236" s="955">
        <v>28</v>
      </c>
      <c r="AH236" s="955">
        <v>14.5</v>
      </c>
      <c r="AI236" s="955">
        <v>0</v>
      </c>
      <c r="AJ236" s="955">
        <v>0</v>
      </c>
      <c r="AK236" s="948">
        <v>2.1500000000000004</v>
      </c>
      <c r="AL236" s="948">
        <v>2.1500000000000004</v>
      </c>
      <c r="AM236" s="948">
        <v>3.2120000000000002</v>
      </c>
      <c r="AN236" s="948">
        <v>3.2120000000000002</v>
      </c>
      <c r="AO236" s="948">
        <v>2.1500000000000004</v>
      </c>
      <c r="AP236" s="948">
        <v>2.1500000000000004</v>
      </c>
      <c r="AQ236" s="948">
        <v>1.508</v>
      </c>
      <c r="AR236" s="948">
        <v>0</v>
      </c>
      <c r="AS236" s="948">
        <v>0</v>
      </c>
      <c r="AT236" s="948">
        <v>19.350000000000001</v>
      </c>
      <c r="AU236" s="948">
        <v>12.900000000000002</v>
      </c>
      <c r="AV236" s="948">
        <v>12.848000000000001</v>
      </c>
      <c r="AW236" s="948">
        <v>12.848000000000001</v>
      </c>
      <c r="AX236" s="948">
        <v>19.350000000000001</v>
      </c>
      <c r="AY236" s="948">
        <v>12.900000000000002</v>
      </c>
      <c r="AZ236" s="948">
        <v>75.777000000000001</v>
      </c>
      <c r="BA236" s="948">
        <v>0</v>
      </c>
      <c r="BB236" s="948">
        <v>0</v>
      </c>
      <c r="BC236" s="957">
        <v>1.5786666666666667</v>
      </c>
      <c r="BD236" s="957">
        <v>1.5786666666666667</v>
      </c>
      <c r="BE236" s="957">
        <v>1.5786666666666667</v>
      </c>
      <c r="BF236" s="957">
        <v>1.5786666666666667</v>
      </c>
      <c r="BG236" s="957">
        <v>1.5786666666666667</v>
      </c>
      <c r="BH236" s="957">
        <v>1.5786666666666667</v>
      </c>
      <c r="BI236" s="957">
        <v>0.39466666666666667</v>
      </c>
      <c r="BJ236" s="957">
        <v>0</v>
      </c>
      <c r="BK236" s="957">
        <v>0</v>
      </c>
      <c r="BL236" s="948">
        <v>30.547200000000004</v>
      </c>
      <c r="BM236" s="948">
        <v>20.364800000000002</v>
      </c>
      <c r="BN236" s="948">
        <v>20.282709333333333</v>
      </c>
      <c r="BO236" s="948">
        <v>20.282709333333333</v>
      </c>
      <c r="BP236" s="948">
        <v>30.547200000000004</v>
      </c>
      <c r="BQ236" s="948">
        <v>20.364800000000002</v>
      </c>
      <c r="BR236" s="948">
        <v>29.906656000000002</v>
      </c>
      <c r="BS236" s="948">
        <v>0</v>
      </c>
      <c r="BT236" s="955">
        <v>265.88900411522633</v>
      </c>
    </row>
    <row r="237" spans="1:72">
      <c r="A237" s="952">
        <v>8</v>
      </c>
      <c r="B237" s="952" t="s">
        <v>1179</v>
      </c>
      <c r="C237" s="950" t="s">
        <v>1125</v>
      </c>
      <c r="D237" s="950">
        <v>1</v>
      </c>
      <c r="E237" s="950">
        <v>1</v>
      </c>
      <c r="F237" s="948">
        <v>5.4</v>
      </c>
      <c r="G237" s="948">
        <v>0.25</v>
      </c>
      <c r="H237" s="948">
        <v>0.6</v>
      </c>
      <c r="I237" s="948">
        <v>0.12</v>
      </c>
      <c r="J237" s="948">
        <f t="shared" ref="J237:J238" si="466">H237-I237</f>
        <v>0.48</v>
      </c>
      <c r="K237" s="948">
        <f t="shared" ref="K237:K238" si="467">F237*G237*J237*D237*E237</f>
        <v>0.64800000000000002</v>
      </c>
      <c r="L237" s="948">
        <f t="shared" ref="L237:L238" si="468">(2*J237)*F237*E237*D237</f>
        <v>5.1840000000000002</v>
      </c>
      <c r="M237" s="952"/>
      <c r="N237" s="950">
        <v>16</v>
      </c>
      <c r="O237" s="950">
        <v>16</v>
      </c>
      <c r="P237" s="950">
        <v>16</v>
      </c>
      <c r="Q237" s="950">
        <v>16</v>
      </c>
      <c r="R237" s="950">
        <v>16</v>
      </c>
      <c r="S237" s="950">
        <v>16</v>
      </c>
      <c r="T237" s="950">
        <v>8</v>
      </c>
      <c r="U237" s="950"/>
      <c r="V237" s="950"/>
      <c r="W237" s="950">
        <v>200</v>
      </c>
      <c r="X237" s="950">
        <v>100</v>
      </c>
      <c r="Y237" s="950">
        <v>100</v>
      </c>
      <c r="Z237" s="950">
        <v>9</v>
      </c>
      <c r="AA237" s="950">
        <v>6</v>
      </c>
      <c r="AB237" s="950">
        <v>4</v>
      </c>
      <c r="AC237" s="950">
        <v>4</v>
      </c>
      <c r="AD237" s="950">
        <v>9</v>
      </c>
      <c r="AE237" s="950">
        <v>6</v>
      </c>
      <c r="AF237" s="955">
        <f t="shared" ref="AF237:AF238" si="469">(F237/4)/(W237/1000)+1</f>
        <v>7.75</v>
      </c>
      <c r="AG237" s="955">
        <f t="shared" ref="AG237:AG238" si="470">(F237/2)/(X237/1000)+1</f>
        <v>28</v>
      </c>
      <c r="AH237" s="955">
        <f t="shared" ref="AH237:AH238" si="471">(F237/4)/(Y237/1000)+1</f>
        <v>14.5</v>
      </c>
      <c r="AI237" s="955">
        <v>0</v>
      </c>
      <c r="AJ237" s="955">
        <v>0</v>
      </c>
      <c r="AK237" s="948">
        <f t="shared" ref="AK237:AK238" si="472">(F237/4)+(20*N237/1000)+(10*N237/1000)+(8*N237/1000)+(6*2*N237/1000)</f>
        <v>2.1500000000000004</v>
      </c>
      <c r="AL237" s="948">
        <f t="shared" ref="AL237:AL238" si="473">(F237/4)+(20*O237/1000)+(10*O237/1000)+(8*O237/1000)+(6*2*O237/1000)</f>
        <v>2.1500000000000004</v>
      </c>
      <c r="AM237" s="948">
        <f t="shared" ref="AM237:AM238" si="474">(F237/2)+(20*P237/1000)+(6*2*P237/1000)</f>
        <v>3.2120000000000002</v>
      </c>
      <c r="AN237" s="948">
        <f t="shared" ref="AN237:AN238" si="475">(F237/2)+(20*Q237/1000)+(6*2*Q237/1000)</f>
        <v>3.2120000000000002</v>
      </c>
      <c r="AO237" s="948">
        <f t="shared" ref="AO237:AO238" si="476">(F237/4)+(20*R237/1000)+(10*R237/1000)+(8*R237/1000)+(6*2*R237/1000)</f>
        <v>2.1500000000000004</v>
      </c>
      <c r="AP237" s="948">
        <f t="shared" ref="AP237:AP238" si="477">(F237/4)+(20*S237/1000)+(10*S237/1000)+(8*S237/1000)+(6*2*S237/1000)</f>
        <v>2.1500000000000004</v>
      </c>
      <c r="AQ237" s="948">
        <f t="shared" ref="AQ237:AQ238" si="478">(2*G237)+(2*H237)+(6*T237/1000)-(8*0.03)</f>
        <v>1.508</v>
      </c>
      <c r="AR237" s="948">
        <f t="shared" ref="AR237:AR238" si="479">((H237)+(2*6*U237/1000)-(2*0.03))*AI237</f>
        <v>0</v>
      </c>
      <c r="AS237" s="948">
        <f t="shared" ref="AS237:AS238" si="480">((G237)+(2*6*V237/1000)-(2*0.03))*AJ237</f>
        <v>0</v>
      </c>
      <c r="AT237" s="948">
        <f t="shared" ref="AT237:AT238" si="481">AK237*Z237*E237*D237</f>
        <v>19.350000000000001</v>
      </c>
      <c r="AU237" s="948">
        <f t="shared" ref="AU237:AU238" si="482">AL237*AA237*E237*D237</f>
        <v>12.900000000000002</v>
      </c>
      <c r="AV237" s="948">
        <f t="shared" ref="AV237:AV238" si="483">AM237*AB237*E237*D237</f>
        <v>12.848000000000001</v>
      </c>
      <c r="AW237" s="948">
        <f t="shared" ref="AW237:AW238" si="484">AN237*AC237*E237*D237</f>
        <v>12.848000000000001</v>
      </c>
      <c r="AX237" s="948">
        <f t="shared" ref="AX237:AX238" si="485">AO237*AD237*E237*D237</f>
        <v>19.350000000000001</v>
      </c>
      <c r="AY237" s="948">
        <f t="shared" ref="AY237:AY238" si="486">AP237*AE237*E237*D237</f>
        <v>12.900000000000002</v>
      </c>
      <c r="AZ237" s="948">
        <f t="shared" ref="AZ237:AZ238" si="487">AQ237*(AF237+AG237+AH237)*E237*D237</f>
        <v>75.777000000000001</v>
      </c>
      <c r="BA237" s="948">
        <f t="shared" ref="BA237:BA238" si="488">AR237*(AF237+AG237+AH237)*E237*D237</f>
        <v>0</v>
      </c>
      <c r="BB237" s="948">
        <f t="shared" ref="BB237:BB238" si="489">AS237*(AF237+AG237+AH237)*E237*D237</f>
        <v>0</v>
      </c>
      <c r="BC237" s="957">
        <f t="shared" ref="BC237:BK238" si="490">N237*N237*0.074/12</f>
        <v>1.5786666666666667</v>
      </c>
      <c r="BD237" s="957">
        <f t="shared" si="490"/>
        <v>1.5786666666666667</v>
      </c>
      <c r="BE237" s="957">
        <f t="shared" si="490"/>
        <v>1.5786666666666667</v>
      </c>
      <c r="BF237" s="957">
        <f t="shared" si="490"/>
        <v>1.5786666666666667</v>
      </c>
      <c r="BG237" s="957">
        <f t="shared" si="490"/>
        <v>1.5786666666666667</v>
      </c>
      <c r="BH237" s="957">
        <f t="shared" si="490"/>
        <v>1.5786666666666667</v>
      </c>
      <c r="BI237" s="957">
        <f t="shared" si="490"/>
        <v>0.39466666666666667</v>
      </c>
      <c r="BJ237" s="957">
        <f t="shared" si="490"/>
        <v>0</v>
      </c>
      <c r="BK237" s="957">
        <f t="shared" si="490"/>
        <v>0</v>
      </c>
      <c r="BL237" s="948">
        <f t="shared" ref="BL237:BR238" si="491">AT237*BC237</f>
        <v>30.547200000000004</v>
      </c>
      <c r="BM237" s="948">
        <f t="shared" si="491"/>
        <v>20.364800000000002</v>
      </c>
      <c r="BN237" s="948">
        <f t="shared" si="491"/>
        <v>20.282709333333333</v>
      </c>
      <c r="BO237" s="948">
        <f t="shared" si="491"/>
        <v>20.282709333333333</v>
      </c>
      <c r="BP237" s="948">
        <f t="shared" si="491"/>
        <v>30.547200000000004</v>
      </c>
      <c r="BQ237" s="948">
        <f t="shared" si="491"/>
        <v>20.364800000000002</v>
      </c>
      <c r="BR237" s="948">
        <f t="shared" si="491"/>
        <v>29.906656000000002</v>
      </c>
      <c r="BS237" s="948">
        <f>BB237*BK237</f>
        <v>0</v>
      </c>
      <c r="BT237" s="955">
        <f>SUM(BL237:BS237)/K237</f>
        <v>265.88900411522633</v>
      </c>
    </row>
    <row r="238" spans="1:72">
      <c r="A238" s="952">
        <v>9</v>
      </c>
      <c r="B238" s="952" t="s">
        <v>1180</v>
      </c>
      <c r="C238" s="950" t="s">
        <v>1127</v>
      </c>
      <c r="D238" s="950">
        <v>1</v>
      </c>
      <c r="E238" s="950">
        <v>1</v>
      </c>
      <c r="F238" s="948">
        <v>5.4</v>
      </c>
      <c r="G238" s="948">
        <v>0.25</v>
      </c>
      <c r="H238" s="948">
        <v>0.6</v>
      </c>
      <c r="I238" s="948">
        <v>0.12</v>
      </c>
      <c r="J238" s="948">
        <f t="shared" si="466"/>
        <v>0.48</v>
      </c>
      <c r="K238" s="948">
        <f t="shared" si="467"/>
        <v>0.64800000000000002</v>
      </c>
      <c r="L238" s="948">
        <f t="shared" si="468"/>
        <v>5.1840000000000002</v>
      </c>
      <c r="M238" s="952"/>
      <c r="N238" s="950">
        <v>16</v>
      </c>
      <c r="O238" s="950">
        <v>16</v>
      </c>
      <c r="P238" s="950">
        <v>16</v>
      </c>
      <c r="Q238" s="950">
        <v>16</v>
      </c>
      <c r="R238" s="950">
        <v>16</v>
      </c>
      <c r="S238" s="950">
        <v>16</v>
      </c>
      <c r="T238" s="950">
        <v>8</v>
      </c>
      <c r="U238" s="950"/>
      <c r="V238" s="950"/>
      <c r="W238" s="950">
        <v>200</v>
      </c>
      <c r="X238" s="950">
        <v>100</v>
      </c>
      <c r="Y238" s="950">
        <v>100</v>
      </c>
      <c r="Z238" s="950">
        <v>9</v>
      </c>
      <c r="AA238" s="950">
        <v>6</v>
      </c>
      <c r="AB238" s="950">
        <v>4</v>
      </c>
      <c r="AC238" s="950">
        <v>4</v>
      </c>
      <c r="AD238" s="950">
        <v>9</v>
      </c>
      <c r="AE238" s="950">
        <v>6</v>
      </c>
      <c r="AF238" s="955">
        <f t="shared" si="469"/>
        <v>7.75</v>
      </c>
      <c r="AG238" s="955">
        <f t="shared" si="470"/>
        <v>28</v>
      </c>
      <c r="AH238" s="955">
        <f t="shared" si="471"/>
        <v>14.5</v>
      </c>
      <c r="AI238" s="955">
        <v>0</v>
      </c>
      <c r="AJ238" s="955">
        <v>0</v>
      </c>
      <c r="AK238" s="948">
        <f t="shared" si="472"/>
        <v>2.1500000000000004</v>
      </c>
      <c r="AL238" s="948">
        <f t="shared" si="473"/>
        <v>2.1500000000000004</v>
      </c>
      <c r="AM238" s="948">
        <f t="shared" si="474"/>
        <v>3.2120000000000002</v>
      </c>
      <c r="AN238" s="948">
        <f t="shared" si="475"/>
        <v>3.2120000000000002</v>
      </c>
      <c r="AO238" s="948">
        <f t="shared" si="476"/>
        <v>2.1500000000000004</v>
      </c>
      <c r="AP238" s="948">
        <f t="shared" si="477"/>
        <v>2.1500000000000004</v>
      </c>
      <c r="AQ238" s="948">
        <f t="shared" si="478"/>
        <v>1.508</v>
      </c>
      <c r="AR238" s="948">
        <f t="shared" si="479"/>
        <v>0</v>
      </c>
      <c r="AS238" s="948">
        <f t="shared" si="480"/>
        <v>0</v>
      </c>
      <c r="AT238" s="948">
        <f t="shared" si="481"/>
        <v>19.350000000000001</v>
      </c>
      <c r="AU238" s="948">
        <f t="shared" si="482"/>
        <v>12.900000000000002</v>
      </c>
      <c r="AV238" s="948">
        <f t="shared" si="483"/>
        <v>12.848000000000001</v>
      </c>
      <c r="AW238" s="948">
        <f t="shared" si="484"/>
        <v>12.848000000000001</v>
      </c>
      <c r="AX238" s="948">
        <f t="shared" si="485"/>
        <v>19.350000000000001</v>
      </c>
      <c r="AY238" s="948">
        <f t="shared" si="486"/>
        <v>12.900000000000002</v>
      </c>
      <c r="AZ238" s="948">
        <f t="shared" si="487"/>
        <v>75.777000000000001</v>
      </c>
      <c r="BA238" s="948">
        <f t="shared" si="488"/>
        <v>0</v>
      </c>
      <c r="BB238" s="948">
        <f t="shared" si="489"/>
        <v>0</v>
      </c>
      <c r="BC238" s="957">
        <f t="shared" si="490"/>
        <v>1.5786666666666667</v>
      </c>
      <c r="BD238" s="957">
        <f t="shared" si="490"/>
        <v>1.5786666666666667</v>
      </c>
      <c r="BE238" s="957">
        <f t="shared" si="490"/>
        <v>1.5786666666666667</v>
      </c>
      <c r="BF238" s="957">
        <f t="shared" si="490"/>
        <v>1.5786666666666667</v>
      </c>
      <c r="BG238" s="957">
        <f t="shared" si="490"/>
        <v>1.5786666666666667</v>
      </c>
      <c r="BH238" s="957">
        <f t="shared" si="490"/>
        <v>1.5786666666666667</v>
      </c>
      <c r="BI238" s="957">
        <f t="shared" si="490"/>
        <v>0.39466666666666667</v>
      </c>
      <c r="BJ238" s="957">
        <f t="shared" si="490"/>
        <v>0</v>
      </c>
      <c r="BK238" s="957">
        <f t="shared" si="490"/>
        <v>0</v>
      </c>
      <c r="BL238" s="948">
        <f t="shared" si="491"/>
        <v>30.547200000000004</v>
      </c>
      <c r="BM238" s="948">
        <f t="shared" si="491"/>
        <v>20.364800000000002</v>
      </c>
      <c r="BN238" s="948">
        <f t="shared" si="491"/>
        <v>20.282709333333333</v>
      </c>
      <c r="BO238" s="948">
        <f t="shared" si="491"/>
        <v>20.282709333333333</v>
      </c>
      <c r="BP238" s="948">
        <f t="shared" si="491"/>
        <v>30.547200000000004</v>
      </c>
      <c r="BQ238" s="948">
        <f t="shared" si="491"/>
        <v>20.364800000000002</v>
      </c>
      <c r="BR238" s="948">
        <f t="shared" si="491"/>
        <v>29.906656000000002</v>
      </c>
      <c r="BS238" s="948">
        <f>BB238*BK238</f>
        <v>0</v>
      </c>
      <c r="BT238" s="955">
        <f>SUM(BL238:BS238)/K238</f>
        <v>265.88900411522633</v>
      </c>
    </row>
    <row r="239" spans="1:72">
      <c r="A239" s="952"/>
      <c r="B239" s="952"/>
      <c r="C239" s="950"/>
      <c r="D239" s="950"/>
      <c r="E239" s="950"/>
      <c r="F239" s="948"/>
      <c r="G239" s="948"/>
      <c r="H239" s="948"/>
      <c r="I239" s="948"/>
      <c r="J239" s="948"/>
      <c r="K239" s="948">
        <f>SUM(K223:K238)</f>
        <v>67.325999999999993</v>
      </c>
      <c r="L239" s="948">
        <f>SUM(L223:L238)</f>
        <v>504.77600000000012</v>
      </c>
      <c r="M239" s="952"/>
      <c r="N239" s="950"/>
      <c r="O239" s="950"/>
      <c r="P239" s="950"/>
      <c r="Q239" s="950"/>
      <c r="R239" s="950"/>
      <c r="S239" s="950"/>
      <c r="T239" s="950"/>
      <c r="U239" s="950"/>
      <c r="V239" s="950"/>
      <c r="W239" s="950"/>
      <c r="X239" s="950"/>
      <c r="Y239" s="950"/>
      <c r="Z239" s="950"/>
      <c r="AA239" s="950"/>
      <c r="AB239" s="950"/>
      <c r="AC239" s="950"/>
      <c r="AD239" s="950"/>
      <c r="AE239" s="950"/>
      <c r="AF239" s="955"/>
      <c r="AG239" s="955"/>
      <c r="AH239" s="955"/>
      <c r="AI239" s="955"/>
      <c r="AJ239" s="955"/>
      <c r="AK239" s="948"/>
      <c r="AL239" s="948"/>
      <c r="AM239" s="948"/>
      <c r="AN239" s="948"/>
      <c r="AO239" s="948"/>
      <c r="AP239" s="948"/>
      <c r="AQ239" s="948"/>
      <c r="AR239" s="948"/>
      <c r="AS239" s="948"/>
      <c r="AT239" s="948"/>
      <c r="AU239" s="948"/>
      <c r="AV239" s="948"/>
      <c r="AW239" s="948"/>
      <c r="AX239" s="948"/>
      <c r="AY239" s="948"/>
      <c r="AZ239" s="948"/>
      <c r="BA239" s="948"/>
      <c r="BB239" s="948"/>
      <c r="BC239" s="957"/>
      <c r="BD239" s="957"/>
      <c r="BE239" s="957"/>
      <c r="BF239" s="957"/>
      <c r="BG239" s="957"/>
      <c r="BH239" s="957"/>
      <c r="BI239" s="957"/>
      <c r="BJ239" s="957"/>
      <c r="BK239" s="957"/>
      <c r="BL239" s="948"/>
      <c r="BM239" s="948"/>
      <c r="BN239" s="948"/>
      <c r="BO239" s="948"/>
      <c r="BP239" s="948"/>
      <c r="BQ239" s="948"/>
      <c r="BR239" s="948"/>
      <c r="BS239" s="948"/>
      <c r="BT239" s="955"/>
    </row>
    <row r="240" spans="1:72">
      <c r="A240" s="949" t="s">
        <v>66</v>
      </c>
      <c r="B240" s="949" t="s">
        <v>1050</v>
      </c>
      <c r="C240" s="949" t="s">
        <v>983</v>
      </c>
      <c r="D240" s="950" t="s">
        <v>1051</v>
      </c>
      <c r="E240" s="950" t="s">
        <v>1052</v>
      </c>
      <c r="F240" s="951" t="s">
        <v>984</v>
      </c>
      <c r="G240" s="951"/>
      <c r="H240" s="951"/>
      <c r="I240" s="948" t="s">
        <v>985</v>
      </c>
      <c r="J240" s="948" t="s">
        <v>1053</v>
      </c>
      <c r="K240" s="948" t="s">
        <v>392</v>
      </c>
      <c r="L240" s="948" t="s">
        <v>377</v>
      </c>
      <c r="M240" s="952"/>
      <c r="N240" s="949" t="s">
        <v>1054</v>
      </c>
      <c r="O240" s="949"/>
      <c r="P240" s="949"/>
      <c r="Q240" s="949"/>
      <c r="R240" s="949"/>
      <c r="S240" s="949"/>
      <c r="T240" s="949" t="s">
        <v>1055</v>
      </c>
      <c r="U240" s="949"/>
      <c r="V240" s="949"/>
      <c r="W240" s="949" t="s">
        <v>989</v>
      </c>
      <c r="X240" s="949"/>
      <c r="Y240" s="949"/>
      <c r="Z240" s="949" t="s">
        <v>1056</v>
      </c>
      <c r="AA240" s="949"/>
      <c r="AB240" s="949"/>
      <c r="AC240" s="949"/>
      <c r="AD240" s="949"/>
      <c r="AE240" s="949"/>
      <c r="AF240" s="953" t="s">
        <v>1057</v>
      </c>
      <c r="AG240" s="953"/>
      <c r="AH240" s="953"/>
      <c r="AI240" s="953"/>
      <c r="AJ240" s="953"/>
      <c r="AK240" s="951" t="s">
        <v>1058</v>
      </c>
      <c r="AL240" s="951"/>
      <c r="AM240" s="951"/>
      <c r="AN240" s="951"/>
      <c r="AO240" s="951"/>
      <c r="AP240" s="951"/>
      <c r="AQ240" s="951" t="s">
        <v>1059</v>
      </c>
      <c r="AR240" s="951"/>
      <c r="AS240" s="951"/>
      <c r="AT240" s="951" t="s">
        <v>1060</v>
      </c>
      <c r="AU240" s="951"/>
      <c r="AV240" s="951"/>
      <c r="AW240" s="951"/>
      <c r="AX240" s="951"/>
      <c r="AY240" s="951"/>
      <c r="AZ240" s="951" t="s">
        <v>1061</v>
      </c>
      <c r="BA240" s="951"/>
      <c r="BB240" s="951"/>
      <c r="BC240" s="954" t="s">
        <v>1062</v>
      </c>
      <c r="BD240" s="954"/>
      <c r="BE240" s="954"/>
      <c r="BF240" s="954"/>
      <c r="BG240" s="954"/>
      <c r="BH240" s="954"/>
      <c r="BI240" s="954" t="s">
        <v>996</v>
      </c>
      <c r="BJ240" s="954"/>
      <c r="BK240" s="954"/>
      <c r="BL240" s="951" t="s">
        <v>997</v>
      </c>
      <c r="BM240" s="951"/>
      <c r="BN240" s="951"/>
      <c r="BO240" s="951"/>
      <c r="BP240" s="951"/>
      <c r="BQ240" s="951"/>
      <c r="BR240" s="951"/>
      <c r="BS240" s="951"/>
      <c r="BT240" s="955" t="s">
        <v>998</v>
      </c>
    </row>
    <row r="241" spans="1:72">
      <c r="A241" s="949"/>
      <c r="B241" s="949"/>
      <c r="C241" s="949"/>
      <c r="D241" s="949" t="s">
        <v>1063</v>
      </c>
      <c r="E241" s="949" t="s">
        <v>391</v>
      </c>
      <c r="F241" s="948" t="s">
        <v>999</v>
      </c>
      <c r="G241" s="948" t="s">
        <v>1000</v>
      </c>
      <c r="H241" s="948" t="s">
        <v>1001</v>
      </c>
      <c r="I241" s="948" t="s">
        <v>1002</v>
      </c>
      <c r="J241" s="948" t="s">
        <v>1003</v>
      </c>
      <c r="K241" s="951" t="s">
        <v>1064</v>
      </c>
      <c r="L241" s="948"/>
      <c r="M241" s="952"/>
      <c r="N241" s="949" t="s">
        <v>1001</v>
      </c>
      <c r="O241" s="949"/>
      <c r="P241" s="949" t="s">
        <v>1000</v>
      </c>
      <c r="Q241" s="949"/>
      <c r="R241" s="949" t="s">
        <v>1001</v>
      </c>
      <c r="S241" s="949"/>
      <c r="T241" s="950" t="s">
        <v>1007</v>
      </c>
      <c r="U241" s="949" t="s">
        <v>1005</v>
      </c>
      <c r="V241" s="949"/>
      <c r="W241" s="949"/>
      <c r="X241" s="949" t="s">
        <v>1000</v>
      </c>
      <c r="Y241" s="949" t="s">
        <v>1001</v>
      </c>
      <c r="Z241" s="949" t="s">
        <v>1001</v>
      </c>
      <c r="AA241" s="949"/>
      <c r="AB241" s="949" t="s">
        <v>1000</v>
      </c>
      <c r="AC241" s="949"/>
      <c r="AD241" s="949" t="s">
        <v>1001</v>
      </c>
      <c r="AE241" s="949"/>
      <c r="AF241" s="953" t="s">
        <v>1004</v>
      </c>
      <c r="AG241" s="953"/>
      <c r="AH241" s="953"/>
      <c r="AI241" s="953" t="s">
        <v>1065</v>
      </c>
      <c r="AJ241" s="953"/>
      <c r="AK241" s="951" t="s">
        <v>1001</v>
      </c>
      <c r="AL241" s="951"/>
      <c r="AM241" s="951" t="s">
        <v>1000</v>
      </c>
      <c r="AN241" s="951"/>
      <c r="AO241" s="951" t="s">
        <v>1001</v>
      </c>
      <c r="AP241" s="951"/>
      <c r="AQ241" s="951" t="s">
        <v>1004</v>
      </c>
      <c r="AR241" s="951" t="s">
        <v>1005</v>
      </c>
      <c r="AS241" s="951"/>
      <c r="AT241" s="951" t="s">
        <v>1066</v>
      </c>
      <c r="AU241" s="951"/>
      <c r="AV241" s="951" t="s">
        <v>1000</v>
      </c>
      <c r="AW241" s="951"/>
      <c r="AX241" s="951" t="s">
        <v>1001</v>
      </c>
      <c r="AY241" s="951"/>
      <c r="AZ241" s="951" t="s">
        <v>1004</v>
      </c>
      <c r="BA241" s="951" t="s">
        <v>1005</v>
      </c>
      <c r="BB241" s="951"/>
      <c r="BC241" s="953" t="s">
        <v>1001</v>
      </c>
      <c r="BD241" s="953"/>
      <c r="BE241" s="953" t="s">
        <v>1000</v>
      </c>
      <c r="BF241" s="953"/>
      <c r="BG241" s="951" t="s">
        <v>1001</v>
      </c>
      <c r="BH241" s="951"/>
      <c r="BI241" s="956" t="s">
        <v>1004</v>
      </c>
      <c r="BJ241" s="954" t="s">
        <v>1005</v>
      </c>
      <c r="BK241" s="954"/>
      <c r="BL241" s="951" t="s">
        <v>1006</v>
      </c>
      <c r="BM241" s="951"/>
      <c r="BN241" s="951"/>
      <c r="BO241" s="951"/>
      <c r="BP241" s="951"/>
      <c r="BQ241" s="951"/>
      <c r="BR241" s="951" t="s">
        <v>1067</v>
      </c>
      <c r="BS241" s="951"/>
      <c r="BT241" s="953" t="s">
        <v>1068</v>
      </c>
    </row>
    <row r="242" spans="1:72">
      <c r="A242" s="949"/>
      <c r="B242" s="949"/>
      <c r="C242" s="949" t="s">
        <v>391</v>
      </c>
      <c r="D242" s="949"/>
      <c r="E242" s="949"/>
      <c r="F242" s="948" t="s">
        <v>1069</v>
      </c>
      <c r="G242" s="948" t="s">
        <v>1069</v>
      </c>
      <c r="H242" s="948" t="s">
        <v>1069</v>
      </c>
      <c r="I242" s="948" t="s">
        <v>1069</v>
      </c>
      <c r="J242" s="948" t="s">
        <v>1069</v>
      </c>
      <c r="K242" s="951"/>
      <c r="L242" s="948" t="s">
        <v>1070</v>
      </c>
      <c r="M242" s="952"/>
      <c r="N242" s="949"/>
      <c r="O242" s="949"/>
      <c r="P242" s="949"/>
      <c r="Q242" s="949"/>
      <c r="R242" s="949"/>
      <c r="S242" s="949"/>
      <c r="T242" s="950" t="s">
        <v>1071</v>
      </c>
      <c r="U242" s="950" t="s">
        <v>1012</v>
      </c>
      <c r="V242" s="950" t="s">
        <v>494</v>
      </c>
      <c r="W242" s="949"/>
      <c r="X242" s="949"/>
      <c r="Y242" s="949"/>
      <c r="Z242" s="949"/>
      <c r="AA242" s="949"/>
      <c r="AB242" s="949"/>
      <c r="AC242" s="949"/>
      <c r="AD242" s="949"/>
      <c r="AE242" s="949"/>
      <c r="AF242" s="955" t="s">
        <v>1001</v>
      </c>
      <c r="AG242" s="955" t="s">
        <v>1000</v>
      </c>
      <c r="AH242" s="955" t="s">
        <v>1001</v>
      </c>
      <c r="AI242" s="955" t="s">
        <v>1012</v>
      </c>
      <c r="AJ242" s="955" t="s">
        <v>494</v>
      </c>
      <c r="AK242" s="951"/>
      <c r="AL242" s="951"/>
      <c r="AM242" s="951"/>
      <c r="AN242" s="951"/>
      <c r="AO242" s="951"/>
      <c r="AP242" s="951"/>
      <c r="AQ242" s="951"/>
      <c r="AR242" s="948" t="s">
        <v>1012</v>
      </c>
      <c r="AS242" s="948" t="s">
        <v>494</v>
      </c>
      <c r="AT242" s="951"/>
      <c r="AU242" s="951"/>
      <c r="AV242" s="951"/>
      <c r="AW242" s="951"/>
      <c r="AX242" s="951"/>
      <c r="AY242" s="951"/>
      <c r="AZ242" s="951"/>
      <c r="BA242" s="948" t="s">
        <v>1012</v>
      </c>
      <c r="BB242" s="948" t="s">
        <v>494</v>
      </c>
      <c r="BC242" s="953"/>
      <c r="BD242" s="953"/>
      <c r="BE242" s="953"/>
      <c r="BF242" s="953"/>
      <c r="BG242" s="951"/>
      <c r="BH242" s="951"/>
      <c r="BI242" s="957"/>
      <c r="BJ242" s="957" t="s">
        <v>1012</v>
      </c>
      <c r="BK242" s="957" t="s">
        <v>494</v>
      </c>
      <c r="BL242" s="951" t="s">
        <v>1001</v>
      </c>
      <c r="BM242" s="951"/>
      <c r="BN242" s="951" t="s">
        <v>1000</v>
      </c>
      <c r="BO242" s="951"/>
      <c r="BP242" s="951" t="s">
        <v>1001</v>
      </c>
      <c r="BQ242" s="951"/>
      <c r="BR242" s="951" t="s">
        <v>1004</v>
      </c>
      <c r="BS242" s="948"/>
      <c r="BT242" s="953"/>
    </row>
    <row r="243" spans="1:72">
      <c r="A243" s="949"/>
      <c r="B243" s="949"/>
      <c r="C243" s="949"/>
      <c r="D243" s="950" t="s">
        <v>1072</v>
      </c>
      <c r="E243" s="950" t="s">
        <v>1073</v>
      </c>
      <c r="F243" s="948" t="s">
        <v>1074</v>
      </c>
      <c r="G243" s="948" t="s">
        <v>1075</v>
      </c>
      <c r="H243" s="948" t="s">
        <v>1076</v>
      </c>
      <c r="I243" s="948" t="s">
        <v>1077</v>
      </c>
      <c r="J243" s="948" t="s">
        <v>1078</v>
      </c>
      <c r="K243" s="948" t="s">
        <v>1079</v>
      </c>
      <c r="L243" s="948" t="s">
        <v>1080</v>
      </c>
      <c r="M243" s="952"/>
      <c r="N243" s="949" t="s">
        <v>1081</v>
      </c>
      <c r="O243" s="949"/>
      <c r="P243" s="949"/>
      <c r="Q243" s="949"/>
      <c r="R243" s="949"/>
      <c r="S243" s="949"/>
      <c r="T243" s="950" t="s">
        <v>1082</v>
      </c>
      <c r="U243" s="949" t="s">
        <v>1081</v>
      </c>
      <c r="V243" s="949"/>
      <c r="W243" s="949" t="s">
        <v>1081</v>
      </c>
      <c r="X243" s="949"/>
      <c r="Y243" s="949"/>
      <c r="Z243" s="949" t="s">
        <v>1082</v>
      </c>
      <c r="AA243" s="949"/>
      <c r="AB243" s="949"/>
      <c r="AC243" s="949"/>
      <c r="AD243" s="949"/>
      <c r="AE243" s="949"/>
      <c r="AF243" s="953" t="s">
        <v>1082</v>
      </c>
      <c r="AG243" s="953"/>
      <c r="AH243" s="953"/>
      <c r="AI243" s="953"/>
      <c r="AJ243" s="953"/>
      <c r="AK243" s="951" t="s">
        <v>1069</v>
      </c>
      <c r="AL243" s="951"/>
      <c r="AM243" s="951"/>
      <c r="AN243" s="951"/>
      <c r="AO243" s="951"/>
      <c r="AP243" s="951"/>
      <c r="AQ243" s="951"/>
      <c r="AR243" s="951"/>
      <c r="AS243" s="951"/>
      <c r="AT243" s="951"/>
      <c r="AU243" s="951"/>
      <c r="AV243" s="951"/>
      <c r="AW243" s="951"/>
      <c r="AX243" s="951"/>
      <c r="AY243" s="951"/>
      <c r="AZ243" s="951"/>
      <c r="BA243" s="951"/>
      <c r="BB243" s="951"/>
      <c r="BC243" s="954"/>
      <c r="BD243" s="954"/>
      <c r="BE243" s="954"/>
      <c r="BF243" s="954"/>
      <c r="BG243" s="954"/>
      <c r="BH243" s="954"/>
      <c r="BI243" s="954"/>
      <c r="BJ243" s="954"/>
      <c r="BK243" s="954"/>
      <c r="BL243" s="951"/>
      <c r="BM243" s="951"/>
      <c r="BN243" s="951"/>
      <c r="BO243" s="951"/>
      <c r="BP243" s="951"/>
      <c r="BQ243" s="951"/>
      <c r="BR243" s="951"/>
      <c r="BS243" s="948" t="s">
        <v>494</v>
      </c>
      <c r="BT243" s="953"/>
    </row>
    <row r="244" spans="1:72">
      <c r="A244" s="952"/>
      <c r="B244" s="952"/>
      <c r="C244" s="950"/>
      <c r="D244" s="950"/>
      <c r="E244" s="950"/>
      <c r="F244" s="948"/>
      <c r="G244" s="948"/>
      <c r="H244" s="948"/>
      <c r="I244" s="948"/>
      <c r="J244" s="948"/>
      <c r="K244" s="948"/>
      <c r="L244" s="948"/>
      <c r="M244" s="952"/>
      <c r="N244" s="950"/>
      <c r="O244" s="950"/>
      <c r="P244" s="950"/>
      <c r="Q244" s="950"/>
      <c r="R244" s="950"/>
      <c r="S244" s="950"/>
      <c r="T244" s="950"/>
      <c r="U244" s="950"/>
      <c r="V244" s="950"/>
      <c r="W244" s="950"/>
      <c r="X244" s="950"/>
      <c r="Y244" s="950"/>
      <c r="Z244" s="950"/>
      <c r="AA244" s="950"/>
      <c r="AB244" s="950"/>
      <c r="AC244" s="950"/>
      <c r="AD244" s="950"/>
      <c r="AE244" s="950"/>
      <c r="AF244" s="955"/>
      <c r="AG244" s="955"/>
      <c r="AH244" s="955"/>
      <c r="AI244" s="955"/>
      <c r="AJ244" s="955"/>
      <c r="AK244" s="948"/>
      <c r="AL244" s="948"/>
      <c r="AM244" s="948"/>
      <c r="AN244" s="948"/>
      <c r="AO244" s="948"/>
      <c r="AP244" s="948"/>
      <c r="AQ244" s="948"/>
      <c r="AR244" s="948"/>
      <c r="AS244" s="948"/>
      <c r="AT244" s="948"/>
      <c r="AU244" s="948"/>
      <c r="AV244" s="948"/>
      <c r="AW244" s="948"/>
      <c r="AX244" s="948"/>
      <c r="AY244" s="948"/>
      <c r="AZ244" s="948"/>
      <c r="BA244" s="948"/>
      <c r="BB244" s="948"/>
      <c r="BC244" s="957"/>
      <c r="BD244" s="957"/>
      <c r="BE244" s="957"/>
      <c r="BF244" s="957"/>
      <c r="BG244" s="957"/>
      <c r="BH244" s="957"/>
      <c r="BI244" s="957"/>
      <c r="BJ244" s="957"/>
      <c r="BK244" s="957"/>
      <c r="BL244" s="948"/>
      <c r="BM244" s="948"/>
      <c r="BN244" s="948"/>
      <c r="BO244" s="948"/>
      <c r="BP244" s="948"/>
      <c r="BQ244" s="948"/>
      <c r="BR244" s="948"/>
      <c r="BS244" s="948"/>
      <c r="BT244" s="955"/>
    </row>
    <row r="245" spans="1:72">
      <c r="A245" s="958" t="s">
        <v>1182</v>
      </c>
      <c r="B245" s="952"/>
      <c r="C245" s="950"/>
      <c r="D245" s="950"/>
      <c r="E245" s="950"/>
      <c r="F245" s="948"/>
      <c r="G245" s="948"/>
      <c r="H245" s="948"/>
      <c r="I245" s="948"/>
      <c r="J245" s="948"/>
      <c r="K245" s="948"/>
      <c r="L245" s="948"/>
      <c r="M245" s="952"/>
      <c r="N245" s="958" t="s">
        <v>1182</v>
      </c>
      <c r="O245" s="950"/>
      <c r="P245" s="950"/>
      <c r="Q245" s="950"/>
      <c r="R245" s="950"/>
      <c r="S245" s="950"/>
      <c r="T245" s="950"/>
      <c r="U245" s="950"/>
      <c r="V245" s="950"/>
      <c r="W245" s="950"/>
      <c r="X245" s="950"/>
      <c r="Y245" s="950"/>
      <c r="Z245" s="950"/>
      <c r="AA245" s="950"/>
      <c r="AB245" s="950"/>
      <c r="AC245" s="950"/>
      <c r="AD245" s="950"/>
      <c r="AE245" s="950"/>
      <c r="AF245" s="955"/>
      <c r="AG245" s="955"/>
      <c r="AH245" s="955"/>
      <c r="AI245" s="955"/>
      <c r="AJ245" s="955"/>
      <c r="AK245" s="948"/>
      <c r="AL245" s="948"/>
      <c r="AM245" s="948"/>
      <c r="AN245" s="948"/>
      <c r="AO245" s="948"/>
      <c r="AP245" s="948"/>
      <c r="AQ245" s="948"/>
      <c r="AR245" s="948"/>
      <c r="AS245" s="948"/>
      <c r="AT245" s="948"/>
      <c r="AU245" s="948"/>
      <c r="AV245" s="948"/>
      <c r="AW245" s="948"/>
      <c r="AX245" s="948"/>
      <c r="AY245" s="948"/>
      <c r="AZ245" s="948"/>
      <c r="BA245" s="948"/>
      <c r="BB245" s="948"/>
      <c r="BC245" s="957"/>
      <c r="BD245" s="957"/>
      <c r="BE245" s="957"/>
      <c r="BF245" s="957"/>
      <c r="BG245" s="957"/>
      <c r="BH245" s="957"/>
      <c r="BI245" s="957"/>
      <c r="BJ245" s="957"/>
      <c r="BK245" s="957"/>
      <c r="BL245" s="948"/>
      <c r="BM245" s="948"/>
      <c r="BN245" s="948"/>
      <c r="BO245" s="948"/>
      <c r="BP245" s="948"/>
      <c r="BQ245" s="948"/>
      <c r="BR245" s="948"/>
      <c r="BS245" s="948"/>
      <c r="BT245" s="955"/>
    </row>
    <row r="246" spans="1:72">
      <c r="A246" s="960" t="s">
        <v>2</v>
      </c>
      <c r="B246" s="960" t="s">
        <v>1084</v>
      </c>
      <c r="C246" s="950"/>
      <c r="D246" s="950"/>
      <c r="E246" s="950"/>
      <c r="F246" s="948"/>
      <c r="G246" s="948"/>
      <c r="H246" s="948"/>
      <c r="I246" s="948"/>
      <c r="J246" s="948"/>
      <c r="K246" s="948"/>
      <c r="L246" s="948"/>
      <c r="M246" s="952"/>
      <c r="N246" s="959" t="str">
        <f>A246</f>
        <v>A</v>
      </c>
      <c r="O246" s="959" t="str">
        <f>B246</f>
        <v>Vertikal</v>
      </c>
      <c r="P246" s="950"/>
      <c r="Q246" s="950"/>
      <c r="R246" s="950"/>
      <c r="S246" s="950"/>
      <c r="T246" s="950"/>
      <c r="U246" s="950"/>
      <c r="V246" s="950"/>
      <c r="W246" s="950"/>
      <c r="X246" s="950"/>
      <c r="Y246" s="950"/>
      <c r="Z246" s="950"/>
      <c r="AA246" s="950"/>
      <c r="AB246" s="950"/>
      <c r="AC246" s="950"/>
      <c r="AD246" s="950"/>
      <c r="AE246" s="950"/>
      <c r="AF246" s="955"/>
      <c r="AG246" s="955"/>
      <c r="AH246" s="955"/>
      <c r="AI246" s="955"/>
      <c r="AJ246" s="955"/>
      <c r="AK246" s="948"/>
      <c r="AL246" s="948"/>
      <c r="AM246" s="948"/>
      <c r="AN246" s="948"/>
      <c r="AO246" s="948"/>
      <c r="AP246" s="948"/>
      <c r="AQ246" s="948"/>
      <c r="AR246" s="948"/>
      <c r="AS246" s="948"/>
      <c r="AT246" s="948"/>
      <c r="AU246" s="948"/>
      <c r="AV246" s="948"/>
      <c r="AW246" s="948"/>
      <c r="AX246" s="948"/>
      <c r="AY246" s="948"/>
      <c r="AZ246" s="948"/>
      <c r="BA246" s="948"/>
      <c r="BB246" s="948"/>
      <c r="BC246" s="957"/>
      <c r="BD246" s="957"/>
      <c r="BE246" s="957"/>
      <c r="BF246" s="957"/>
      <c r="BG246" s="957"/>
      <c r="BH246" s="957"/>
      <c r="BI246" s="957"/>
      <c r="BJ246" s="957"/>
      <c r="BK246" s="957"/>
      <c r="BL246" s="948"/>
      <c r="BM246" s="948"/>
      <c r="BN246" s="948"/>
      <c r="BO246" s="948"/>
      <c r="BP246" s="948"/>
      <c r="BQ246" s="948"/>
      <c r="BR246" s="948"/>
      <c r="BS246" s="948"/>
      <c r="BT246" s="955"/>
    </row>
    <row r="247" spans="1:72">
      <c r="A247" s="952">
        <v>1</v>
      </c>
      <c r="B247" s="952" t="s">
        <v>1161</v>
      </c>
      <c r="C247" s="950" t="s">
        <v>1108</v>
      </c>
      <c r="D247" s="950">
        <v>1</v>
      </c>
      <c r="E247" s="950">
        <v>1</v>
      </c>
      <c r="F247" s="948">
        <v>64</v>
      </c>
      <c r="G247" s="948">
        <v>0.25</v>
      </c>
      <c r="H247" s="948">
        <v>0.6</v>
      </c>
      <c r="I247" s="948">
        <v>0.12</v>
      </c>
      <c r="J247" s="948">
        <f t="shared" ref="J247" si="492">H247-I247</f>
        <v>0.48</v>
      </c>
      <c r="K247" s="948">
        <f>F247*G247*J247*D247*E247</f>
        <v>7.68</v>
      </c>
      <c r="L247" s="948">
        <f>(2*J247)*F247*E247*D247</f>
        <v>61.44</v>
      </c>
      <c r="M247" s="952"/>
      <c r="N247" s="950">
        <v>16</v>
      </c>
      <c r="O247" s="950">
        <v>16</v>
      </c>
      <c r="P247" s="950">
        <v>16</v>
      </c>
      <c r="Q247" s="950">
        <v>16</v>
      </c>
      <c r="R247" s="950">
        <v>16</v>
      </c>
      <c r="S247" s="950">
        <v>16</v>
      </c>
      <c r="T247" s="950">
        <v>8</v>
      </c>
      <c r="U247" s="950"/>
      <c r="V247" s="950"/>
      <c r="W247" s="950">
        <v>200</v>
      </c>
      <c r="X247" s="950">
        <v>100</v>
      </c>
      <c r="Y247" s="950">
        <v>100</v>
      </c>
      <c r="Z247" s="950">
        <v>4</v>
      </c>
      <c r="AA247" s="950">
        <v>4</v>
      </c>
      <c r="AB247" s="950">
        <v>2</v>
      </c>
      <c r="AC247" s="950">
        <v>2</v>
      </c>
      <c r="AD247" s="950">
        <v>4</v>
      </c>
      <c r="AE247" s="950">
        <v>4</v>
      </c>
      <c r="AF247" s="955">
        <f t="shared" ref="AF247:AF251" si="493">(F247/4)/(W247/1000)+1</f>
        <v>81</v>
      </c>
      <c r="AG247" s="955">
        <f t="shared" ref="AG247:AG251" si="494">(F247/2)/(X247/1000)+1</f>
        <v>321</v>
      </c>
      <c r="AH247" s="955">
        <f t="shared" ref="AH247:AH251" si="495">(F247/4)/(Y247/1000)+1</f>
        <v>161</v>
      </c>
      <c r="AI247" s="955">
        <v>0</v>
      </c>
      <c r="AJ247" s="955">
        <v>0</v>
      </c>
      <c r="AK247" s="948">
        <f t="shared" ref="AK247:AK251" si="496">(F247/4)+(20*N247/1000)+(10*N247/1000)+(8*N247/1000)+(6*2*N247/1000)</f>
        <v>16.8</v>
      </c>
      <c r="AL247" s="948">
        <f t="shared" ref="AL247:AL251" si="497">(F247/4)+(20*O247/1000)+(10*O247/1000)+(8*O247/1000)+(6*2*O247/1000)</f>
        <v>16.8</v>
      </c>
      <c r="AM247" s="948">
        <f t="shared" ref="AM247:AM251" si="498">(F247/2)+(20*P247/1000)+(6*2*P247/1000)</f>
        <v>32.512</v>
      </c>
      <c r="AN247" s="948">
        <f t="shared" ref="AN247:AN251" si="499">(F247/2)+(20*Q247/1000)+(6*2*Q247/1000)</f>
        <v>32.512</v>
      </c>
      <c r="AO247" s="948">
        <f t="shared" ref="AO247:AO251" si="500">(F247/4)+(20*R247/1000)+(10*R247/1000)+(8*R247/1000)+(6*2*R247/1000)</f>
        <v>16.8</v>
      </c>
      <c r="AP247" s="948">
        <f t="shared" ref="AP247:AP251" si="501">(F247/4)+(20*S247/1000)+(10*S247/1000)+(8*S247/1000)+(6*2*S247/1000)</f>
        <v>16.8</v>
      </c>
      <c r="AQ247" s="948">
        <f t="shared" ref="AQ247:AQ251" si="502">(2*G247)+(2*H247)+(6*T247/1000)-(8*0.03)</f>
        <v>1.508</v>
      </c>
      <c r="AR247" s="948">
        <f t="shared" ref="AR247:AR251" si="503">((H247)+(2*6*U247/1000)-(2*0.03))*AI247</f>
        <v>0</v>
      </c>
      <c r="AS247" s="948">
        <f t="shared" ref="AS247:AS251" si="504">((G247)+(2*6*V247/1000)-(2*0.03))*AJ247</f>
        <v>0</v>
      </c>
      <c r="AT247" s="948">
        <f t="shared" ref="AT247:AT251" si="505">AK247*Z247*E247*D247</f>
        <v>67.2</v>
      </c>
      <c r="AU247" s="948">
        <f t="shared" ref="AU247:AU251" si="506">AL247*AA247*E247*D247</f>
        <v>67.2</v>
      </c>
      <c r="AV247" s="948">
        <f t="shared" ref="AV247:AV251" si="507">AM247*AB247*E247*D247</f>
        <v>65.024000000000001</v>
      </c>
      <c r="AW247" s="948">
        <f t="shared" ref="AW247:AW251" si="508">AN247*AC247*E247*D247</f>
        <v>65.024000000000001</v>
      </c>
      <c r="AX247" s="948">
        <f t="shared" ref="AX247:AX251" si="509">AO247*AD247*E247*D247</f>
        <v>67.2</v>
      </c>
      <c r="AY247" s="948">
        <f t="shared" ref="AY247:AY251" si="510">AP247*AE247*E247*D247</f>
        <v>67.2</v>
      </c>
      <c r="AZ247" s="948">
        <f t="shared" ref="AZ247:AZ251" si="511">AQ247*(AF247+AG247+AH247)*E247*D247</f>
        <v>849.00400000000002</v>
      </c>
      <c r="BA247" s="948">
        <f t="shared" ref="BA247:BA251" si="512">AR247*(AF247+AG247+AH247)*E247*D247</f>
        <v>0</v>
      </c>
      <c r="BB247" s="948">
        <f t="shared" ref="BB247:BB251" si="513">AS247*(AF247+AG247+AH247)*E247*D247</f>
        <v>0</v>
      </c>
      <c r="BC247" s="957">
        <f t="shared" ref="BC247:BK251" si="514">N247*N247*0.074/12</f>
        <v>1.5786666666666667</v>
      </c>
      <c r="BD247" s="957">
        <f t="shared" si="514"/>
        <v>1.5786666666666667</v>
      </c>
      <c r="BE247" s="957">
        <f t="shared" si="514"/>
        <v>1.5786666666666667</v>
      </c>
      <c r="BF247" s="957">
        <f t="shared" si="514"/>
        <v>1.5786666666666667</v>
      </c>
      <c r="BG247" s="957">
        <f t="shared" si="514"/>
        <v>1.5786666666666667</v>
      </c>
      <c r="BH247" s="957">
        <f t="shared" si="514"/>
        <v>1.5786666666666667</v>
      </c>
      <c r="BI247" s="957">
        <f t="shared" si="514"/>
        <v>0.39466666666666667</v>
      </c>
      <c r="BJ247" s="957">
        <f t="shared" si="514"/>
        <v>0</v>
      </c>
      <c r="BK247" s="957">
        <f t="shared" si="514"/>
        <v>0</v>
      </c>
      <c r="BL247" s="948">
        <f t="shared" ref="BL247:BR251" si="515">AT247*BC247</f>
        <v>106.0864</v>
      </c>
      <c r="BM247" s="948">
        <f t="shared" si="515"/>
        <v>106.0864</v>
      </c>
      <c r="BN247" s="948">
        <f t="shared" si="515"/>
        <v>102.65122133333334</v>
      </c>
      <c r="BO247" s="948">
        <f t="shared" si="515"/>
        <v>102.65122133333334</v>
      </c>
      <c r="BP247" s="948">
        <f t="shared" si="515"/>
        <v>106.0864</v>
      </c>
      <c r="BQ247" s="948">
        <f t="shared" si="515"/>
        <v>106.0864</v>
      </c>
      <c r="BR247" s="948">
        <f t="shared" si="515"/>
        <v>335.07357866666666</v>
      </c>
      <c r="BS247" s="948">
        <f>BB247*BK247</f>
        <v>0</v>
      </c>
      <c r="BT247" s="955">
        <f>SUM(BL247:BS247)/K247</f>
        <v>125.61479444444446</v>
      </c>
    </row>
    <row r="248" spans="1:72">
      <c r="A248" s="952">
        <v>2</v>
      </c>
      <c r="B248" s="952" t="s">
        <v>1162</v>
      </c>
      <c r="C248" s="950" t="s">
        <v>1163</v>
      </c>
      <c r="D248" s="950">
        <v>1</v>
      </c>
      <c r="E248" s="950">
        <v>1</v>
      </c>
      <c r="F248" s="948">
        <v>64</v>
      </c>
      <c r="G248" s="948">
        <v>0.25</v>
      </c>
      <c r="H248" s="948">
        <v>0.6</v>
      </c>
      <c r="I248" s="948">
        <v>0.12</v>
      </c>
      <c r="J248" s="948">
        <f>H248-I248</f>
        <v>0.48</v>
      </c>
      <c r="K248" s="948">
        <f>F248*G248*J248*D248*E248</f>
        <v>7.68</v>
      </c>
      <c r="L248" s="948">
        <f>(2*J248)*F248*E248*D248</f>
        <v>61.44</v>
      </c>
      <c r="M248" s="952"/>
      <c r="N248" s="950">
        <v>16</v>
      </c>
      <c r="O248" s="950">
        <v>16</v>
      </c>
      <c r="P248" s="950">
        <v>16</v>
      </c>
      <c r="Q248" s="950">
        <v>16</v>
      </c>
      <c r="R248" s="950">
        <v>16</v>
      </c>
      <c r="S248" s="950">
        <v>16</v>
      </c>
      <c r="T248" s="950">
        <v>8</v>
      </c>
      <c r="U248" s="950"/>
      <c r="V248" s="950"/>
      <c r="W248" s="950">
        <v>200</v>
      </c>
      <c r="X248" s="950">
        <v>100</v>
      </c>
      <c r="Y248" s="950">
        <v>100</v>
      </c>
      <c r="Z248" s="950">
        <v>4</v>
      </c>
      <c r="AA248" s="950">
        <v>4</v>
      </c>
      <c r="AB248" s="950">
        <v>2</v>
      </c>
      <c r="AC248" s="950">
        <v>2</v>
      </c>
      <c r="AD248" s="950">
        <v>4</v>
      </c>
      <c r="AE248" s="950">
        <v>4</v>
      </c>
      <c r="AF248" s="955">
        <f t="shared" si="493"/>
        <v>81</v>
      </c>
      <c r="AG248" s="955">
        <f t="shared" si="494"/>
        <v>321</v>
      </c>
      <c r="AH248" s="955">
        <f t="shared" si="495"/>
        <v>161</v>
      </c>
      <c r="AI248" s="955">
        <v>0</v>
      </c>
      <c r="AJ248" s="955">
        <v>0</v>
      </c>
      <c r="AK248" s="948">
        <f t="shared" si="496"/>
        <v>16.8</v>
      </c>
      <c r="AL248" s="948">
        <f t="shared" si="497"/>
        <v>16.8</v>
      </c>
      <c r="AM248" s="948">
        <f t="shared" si="498"/>
        <v>32.512</v>
      </c>
      <c r="AN248" s="948">
        <f t="shared" si="499"/>
        <v>32.512</v>
      </c>
      <c r="AO248" s="948">
        <f t="shared" si="500"/>
        <v>16.8</v>
      </c>
      <c r="AP248" s="948">
        <f t="shared" si="501"/>
        <v>16.8</v>
      </c>
      <c r="AQ248" s="948">
        <f t="shared" si="502"/>
        <v>1.508</v>
      </c>
      <c r="AR248" s="948">
        <f t="shared" si="503"/>
        <v>0</v>
      </c>
      <c r="AS248" s="948">
        <f t="shared" si="504"/>
        <v>0</v>
      </c>
      <c r="AT248" s="948">
        <f t="shared" si="505"/>
        <v>67.2</v>
      </c>
      <c r="AU248" s="948">
        <f t="shared" si="506"/>
        <v>67.2</v>
      </c>
      <c r="AV248" s="948">
        <f t="shared" si="507"/>
        <v>65.024000000000001</v>
      </c>
      <c r="AW248" s="948">
        <f t="shared" si="508"/>
        <v>65.024000000000001</v>
      </c>
      <c r="AX248" s="948">
        <f t="shared" si="509"/>
        <v>67.2</v>
      </c>
      <c r="AY248" s="948">
        <f t="shared" si="510"/>
        <v>67.2</v>
      </c>
      <c r="AZ248" s="948">
        <f t="shared" si="511"/>
        <v>849.00400000000002</v>
      </c>
      <c r="BA248" s="948">
        <f t="shared" si="512"/>
        <v>0</v>
      </c>
      <c r="BB248" s="948">
        <f t="shared" si="513"/>
        <v>0</v>
      </c>
      <c r="BC248" s="957">
        <f t="shared" si="514"/>
        <v>1.5786666666666667</v>
      </c>
      <c r="BD248" s="957">
        <f t="shared" si="514"/>
        <v>1.5786666666666667</v>
      </c>
      <c r="BE248" s="957">
        <f t="shared" si="514"/>
        <v>1.5786666666666667</v>
      </c>
      <c r="BF248" s="957">
        <f t="shared" si="514"/>
        <v>1.5786666666666667</v>
      </c>
      <c r="BG248" s="957">
        <f t="shared" si="514"/>
        <v>1.5786666666666667</v>
      </c>
      <c r="BH248" s="957">
        <f t="shared" si="514"/>
        <v>1.5786666666666667</v>
      </c>
      <c r="BI248" s="957">
        <f t="shared" si="514"/>
        <v>0.39466666666666667</v>
      </c>
      <c r="BJ248" s="957">
        <f t="shared" si="514"/>
        <v>0</v>
      </c>
      <c r="BK248" s="957">
        <f t="shared" si="514"/>
        <v>0</v>
      </c>
      <c r="BL248" s="948">
        <f t="shared" si="515"/>
        <v>106.0864</v>
      </c>
      <c r="BM248" s="948">
        <f t="shared" si="515"/>
        <v>106.0864</v>
      </c>
      <c r="BN248" s="948">
        <f t="shared" si="515"/>
        <v>102.65122133333334</v>
      </c>
      <c r="BO248" s="948">
        <f t="shared" si="515"/>
        <v>102.65122133333334</v>
      </c>
      <c r="BP248" s="948">
        <f t="shared" si="515"/>
        <v>106.0864</v>
      </c>
      <c r="BQ248" s="948">
        <f t="shared" si="515"/>
        <v>106.0864</v>
      </c>
      <c r="BR248" s="948">
        <f t="shared" si="515"/>
        <v>335.07357866666666</v>
      </c>
      <c r="BS248" s="948">
        <f>BB248*BK248</f>
        <v>0</v>
      </c>
      <c r="BT248" s="955">
        <f>SUM(BL248:BS248)/K248</f>
        <v>125.61479444444446</v>
      </c>
    </row>
    <row r="249" spans="1:72">
      <c r="A249" s="952">
        <v>3</v>
      </c>
      <c r="B249" s="952" t="s">
        <v>1092</v>
      </c>
      <c r="C249" s="950" t="s">
        <v>1093</v>
      </c>
      <c r="D249" s="950">
        <v>1</v>
      </c>
      <c r="E249" s="950">
        <v>1</v>
      </c>
      <c r="F249" s="948">
        <v>80</v>
      </c>
      <c r="G249" s="948">
        <v>0.25</v>
      </c>
      <c r="H249" s="948">
        <v>0.6</v>
      </c>
      <c r="I249" s="948">
        <v>0.12</v>
      </c>
      <c r="J249" s="948">
        <f>H249-I249</f>
        <v>0.48</v>
      </c>
      <c r="K249" s="948">
        <f>F249*G249*J249*D249*E249</f>
        <v>9.6</v>
      </c>
      <c r="L249" s="948">
        <f>(2*J249)*F249*E249*D249</f>
        <v>76.8</v>
      </c>
      <c r="M249" s="952"/>
      <c r="N249" s="950">
        <v>16</v>
      </c>
      <c r="O249" s="950">
        <v>16</v>
      </c>
      <c r="P249" s="950">
        <v>16</v>
      </c>
      <c r="Q249" s="950">
        <v>16</v>
      </c>
      <c r="R249" s="950">
        <v>16</v>
      </c>
      <c r="S249" s="950">
        <v>16</v>
      </c>
      <c r="T249" s="950">
        <v>8</v>
      </c>
      <c r="U249" s="950"/>
      <c r="V249" s="950"/>
      <c r="W249" s="950">
        <v>200</v>
      </c>
      <c r="X249" s="950">
        <v>100</v>
      </c>
      <c r="Y249" s="950">
        <v>100</v>
      </c>
      <c r="Z249" s="950">
        <v>9</v>
      </c>
      <c r="AA249" s="950">
        <v>6</v>
      </c>
      <c r="AB249" s="950">
        <v>4</v>
      </c>
      <c r="AC249" s="950">
        <v>4</v>
      </c>
      <c r="AD249" s="950">
        <v>9</v>
      </c>
      <c r="AE249" s="950">
        <v>6</v>
      </c>
      <c r="AF249" s="955">
        <f t="shared" si="493"/>
        <v>101</v>
      </c>
      <c r="AG249" s="955">
        <f t="shared" si="494"/>
        <v>401</v>
      </c>
      <c r="AH249" s="955">
        <f t="shared" si="495"/>
        <v>201</v>
      </c>
      <c r="AI249" s="955">
        <v>0</v>
      </c>
      <c r="AJ249" s="955">
        <v>0</v>
      </c>
      <c r="AK249" s="948">
        <f t="shared" si="496"/>
        <v>20.8</v>
      </c>
      <c r="AL249" s="948">
        <f t="shared" si="497"/>
        <v>20.8</v>
      </c>
      <c r="AM249" s="948">
        <f t="shared" si="498"/>
        <v>40.512</v>
      </c>
      <c r="AN249" s="948">
        <f t="shared" si="499"/>
        <v>40.512</v>
      </c>
      <c r="AO249" s="948">
        <f t="shared" si="500"/>
        <v>20.8</v>
      </c>
      <c r="AP249" s="948">
        <f t="shared" si="501"/>
        <v>20.8</v>
      </c>
      <c r="AQ249" s="948">
        <f t="shared" si="502"/>
        <v>1.508</v>
      </c>
      <c r="AR249" s="948">
        <f t="shared" si="503"/>
        <v>0</v>
      </c>
      <c r="AS249" s="948">
        <f t="shared" si="504"/>
        <v>0</v>
      </c>
      <c r="AT249" s="948">
        <f t="shared" si="505"/>
        <v>187.20000000000002</v>
      </c>
      <c r="AU249" s="948">
        <f t="shared" si="506"/>
        <v>124.80000000000001</v>
      </c>
      <c r="AV249" s="948">
        <f t="shared" si="507"/>
        <v>162.048</v>
      </c>
      <c r="AW249" s="948">
        <f t="shared" si="508"/>
        <v>162.048</v>
      </c>
      <c r="AX249" s="948">
        <f t="shared" si="509"/>
        <v>187.20000000000002</v>
      </c>
      <c r="AY249" s="948">
        <f t="shared" si="510"/>
        <v>124.80000000000001</v>
      </c>
      <c r="AZ249" s="948">
        <f t="shared" si="511"/>
        <v>1060.124</v>
      </c>
      <c r="BA249" s="948">
        <f t="shared" si="512"/>
        <v>0</v>
      </c>
      <c r="BB249" s="948">
        <f t="shared" si="513"/>
        <v>0</v>
      </c>
      <c r="BC249" s="957">
        <f t="shared" si="514"/>
        <v>1.5786666666666667</v>
      </c>
      <c r="BD249" s="957">
        <f t="shared" si="514"/>
        <v>1.5786666666666667</v>
      </c>
      <c r="BE249" s="957">
        <f t="shared" si="514"/>
        <v>1.5786666666666667</v>
      </c>
      <c r="BF249" s="957">
        <f t="shared" si="514"/>
        <v>1.5786666666666667</v>
      </c>
      <c r="BG249" s="957">
        <f t="shared" si="514"/>
        <v>1.5786666666666667</v>
      </c>
      <c r="BH249" s="957">
        <f t="shared" si="514"/>
        <v>1.5786666666666667</v>
      </c>
      <c r="BI249" s="957">
        <f t="shared" si="514"/>
        <v>0.39466666666666667</v>
      </c>
      <c r="BJ249" s="957">
        <f t="shared" si="514"/>
        <v>0</v>
      </c>
      <c r="BK249" s="957">
        <f t="shared" si="514"/>
        <v>0</v>
      </c>
      <c r="BL249" s="948">
        <f t="shared" si="515"/>
        <v>295.52640000000002</v>
      </c>
      <c r="BM249" s="948">
        <f t="shared" si="515"/>
        <v>197.01760000000002</v>
      </c>
      <c r="BN249" s="948">
        <f t="shared" si="515"/>
        <v>255.81977599999999</v>
      </c>
      <c r="BO249" s="948">
        <f t="shared" si="515"/>
        <v>255.81977599999999</v>
      </c>
      <c r="BP249" s="948">
        <f t="shared" si="515"/>
        <v>295.52640000000002</v>
      </c>
      <c r="BQ249" s="948">
        <f t="shared" si="515"/>
        <v>197.01760000000002</v>
      </c>
      <c r="BR249" s="948">
        <f t="shared" si="515"/>
        <v>418.39560533333332</v>
      </c>
      <c r="BS249" s="948">
        <f>BB249*BK249</f>
        <v>0</v>
      </c>
      <c r="BT249" s="955">
        <f>SUM(BL249:BS249)/K249</f>
        <v>199.49199555555555</v>
      </c>
    </row>
    <row r="250" spans="1:72">
      <c r="A250" s="952">
        <v>4</v>
      </c>
      <c r="B250" s="952" t="s">
        <v>1164</v>
      </c>
      <c r="C250" s="950" t="s">
        <v>1165</v>
      </c>
      <c r="D250" s="950">
        <v>1</v>
      </c>
      <c r="E250" s="950">
        <v>1</v>
      </c>
      <c r="F250" s="948">
        <v>80</v>
      </c>
      <c r="G250" s="948">
        <v>0.3</v>
      </c>
      <c r="H250" s="948">
        <v>0.65</v>
      </c>
      <c r="I250" s="948">
        <v>0.12</v>
      </c>
      <c r="J250" s="948">
        <f>H250-I250</f>
        <v>0.53</v>
      </c>
      <c r="K250" s="948">
        <f>F250*G250*J250*D250*E250</f>
        <v>12.72</v>
      </c>
      <c r="L250" s="948">
        <f>(2*J250)*F250*E250*D250</f>
        <v>84.800000000000011</v>
      </c>
      <c r="M250" s="952"/>
      <c r="N250" s="950">
        <v>16</v>
      </c>
      <c r="O250" s="950">
        <v>16</v>
      </c>
      <c r="P250" s="950">
        <v>16</v>
      </c>
      <c r="Q250" s="950">
        <v>16</v>
      </c>
      <c r="R250" s="950">
        <v>16</v>
      </c>
      <c r="S250" s="950">
        <v>16</v>
      </c>
      <c r="T250" s="950">
        <v>8</v>
      </c>
      <c r="U250" s="950"/>
      <c r="V250" s="950"/>
      <c r="W250" s="950">
        <v>200</v>
      </c>
      <c r="X250" s="950">
        <v>100</v>
      </c>
      <c r="Y250" s="950">
        <v>100</v>
      </c>
      <c r="Z250" s="950">
        <v>4</v>
      </c>
      <c r="AA250" s="950">
        <v>4</v>
      </c>
      <c r="AB250" s="950">
        <v>2</v>
      </c>
      <c r="AC250" s="950">
        <v>2</v>
      </c>
      <c r="AD250" s="950">
        <v>4</v>
      </c>
      <c r="AE250" s="950">
        <v>4</v>
      </c>
      <c r="AF250" s="955">
        <f t="shared" si="493"/>
        <v>101</v>
      </c>
      <c r="AG250" s="955">
        <f t="shared" si="494"/>
        <v>401</v>
      </c>
      <c r="AH250" s="955">
        <f t="shared" si="495"/>
        <v>201</v>
      </c>
      <c r="AI250" s="955">
        <v>0</v>
      </c>
      <c r="AJ250" s="955">
        <v>0</v>
      </c>
      <c r="AK250" s="948">
        <f t="shared" si="496"/>
        <v>20.8</v>
      </c>
      <c r="AL250" s="948">
        <f t="shared" si="497"/>
        <v>20.8</v>
      </c>
      <c r="AM250" s="948">
        <f t="shared" si="498"/>
        <v>40.512</v>
      </c>
      <c r="AN250" s="948">
        <f t="shared" si="499"/>
        <v>40.512</v>
      </c>
      <c r="AO250" s="948">
        <f t="shared" si="500"/>
        <v>20.8</v>
      </c>
      <c r="AP250" s="948">
        <f t="shared" si="501"/>
        <v>20.8</v>
      </c>
      <c r="AQ250" s="948">
        <f t="shared" si="502"/>
        <v>1.708</v>
      </c>
      <c r="AR250" s="948">
        <f t="shared" si="503"/>
        <v>0</v>
      </c>
      <c r="AS250" s="948">
        <f t="shared" si="504"/>
        <v>0</v>
      </c>
      <c r="AT250" s="948">
        <f t="shared" si="505"/>
        <v>83.2</v>
      </c>
      <c r="AU250" s="948">
        <f t="shared" si="506"/>
        <v>83.2</v>
      </c>
      <c r="AV250" s="948">
        <f t="shared" si="507"/>
        <v>81.024000000000001</v>
      </c>
      <c r="AW250" s="948">
        <f t="shared" si="508"/>
        <v>81.024000000000001</v>
      </c>
      <c r="AX250" s="948">
        <f t="shared" si="509"/>
        <v>83.2</v>
      </c>
      <c r="AY250" s="948">
        <f t="shared" si="510"/>
        <v>83.2</v>
      </c>
      <c r="AZ250" s="948">
        <f t="shared" si="511"/>
        <v>1200.7239999999999</v>
      </c>
      <c r="BA250" s="948">
        <f t="shared" si="512"/>
        <v>0</v>
      </c>
      <c r="BB250" s="948">
        <f t="shared" si="513"/>
        <v>0</v>
      </c>
      <c r="BC250" s="957">
        <f t="shared" si="514"/>
        <v>1.5786666666666667</v>
      </c>
      <c r="BD250" s="957">
        <f t="shared" si="514"/>
        <v>1.5786666666666667</v>
      </c>
      <c r="BE250" s="957">
        <f t="shared" si="514"/>
        <v>1.5786666666666667</v>
      </c>
      <c r="BF250" s="957">
        <f t="shared" si="514"/>
        <v>1.5786666666666667</v>
      </c>
      <c r="BG250" s="957">
        <f t="shared" si="514"/>
        <v>1.5786666666666667</v>
      </c>
      <c r="BH250" s="957">
        <f t="shared" si="514"/>
        <v>1.5786666666666667</v>
      </c>
      <c r="BI250" s="957">
        <f t="shared" si="514"/>
        <v>0.39466666666666667</v>
      </c>
      <c r="BJ250" s="957">
        <f t="shared" si="514"/>
        <v>0</v>
      </c>
      <c r="BK250" s="957">
        <f t="shared" si="514"/>
        <v>0</v>
      </c>
      <c r="BL250" s="948">
        <f t="shared" si="515"/>
        <v>131.34506666666667</v>
      </c>
      <c r="BM250" s="948">
        <f t="shared" si="515"/>
        <v>131.34506666666667</v>
      </c>
      <c r="BN250" s="948">
        <f t="shared" si="515"/>
        <v>127.909888</v>
      </c>
      <c r="BO250" s="948">
        <f t="shared" si="515"/>
        <v>127.909888</v>
      </c>
      <c r="BP250" s="948">
        <f t="shared" si="515"/>
        <v>131.34506666666667</v>
      </c>
      <c r="BQ250" s="948">
        <f t="shared" si="515"/>
        <v>131.34506666666667</v>
      </c>
      <c r="BR250" s="948">
        <f t="shared" si="515"/>
        <v>473.88573866666661</v>
      </c>
      <c r="BS250" s="948">
        <f>BB250*BK250</f>
        <v>0</v>
      </c>
      <c r="BT250" s="955">
        <f>SUM(BL250:BS250)/K250</f>
        <v>98.670265828092226</v>
      </c>
    </row>
    <row r="251" spans="1:72">
      <c r="A251" s="952">
        <v>5</v>
      </c>
      <c r="B251" s="952" t="s">
        <v>1166</v>
      </c>
      <c r="C251" s="950" t="s">
        <v>1103</v>
      </c>
      <c r="D251" s="950">
        <v>1</v>
      </c>
      <c r="E251" s="950">
        <v>1</v>
      </c>
      <c r="F251" s="948">
        <v>10</v>
      </c>
      <c r="G251" s="948">
        <v>0.3</v>
      </c>
      <c r="H251" s="948">
        <v>0.7</v>
      </c>
      <c r="I251" s="948">
        <v>0.12</v>
      </c>
      <c r="J251" s="948">
        <f t="shared" ref="J251" si="516">H251-I251</f>
        <v>0.57999999999999996</v>
      </c>
      <c r="K251" s="948">
        <f t="shared" ref="K251" si="517">F251*G251*J251*D251*E251</f>
        <v>1.7399999999999998</v>
      </c>
      <c r="L251" s="948">
        <f t="shared" ref="L251" si="518">(2*J251)*F251*E251*D251+(D251*E251*F251*G251)</f>
        <v>14.6</v>
      </c>
      <c r="M251" s="952"/>
      <c r="N251" s="950">
        <v>16</v>
      </c>
      <c r="O251" s="950">
        <v>16</v>
      </c>
      <c r="P251" s="950">
        <v>16</v>
      </c>
      <c r="Q251" s="950">
        <v>16</v>
      </c>
      <c r="R251" s="950">
        <v>16</v>
      </c>
      <c r="S251" s="950">
        <v>16</v>
      </c>
      <c r="T251" s="950">
        <v>8</v>
      </c>
      <c r="U251" s="950"/>
      <c r="V251" s="950"/>
      <c r="W251" s="950">
        <v>200</v>
      </c>
      <c r="X251" s="950">
        <v>100</v>
      </c>
      <c r="Y251" s="950">
        <v>100</v>
      </c>
      <c r="Z251" s="950">
        <v>4</v>
      </c>
      <c r="AA251" s="950">
        <v>4</v>
      </c>
      <c r="AB251" s="950">
        <v>2</v>
      </c>
      <c r="AC251" s="950">
        <v>2</v>
      </c>
      <c r="AD251" s="950">
        <v>4</v>
      </c>
      <c r="AE251" s="950">
        <v>4</v>
      </c>
      <c r="AF251" s="955">
        <f t="shared" si="493"/>
        <v>13.5</v>
      </c>
      <c r="AG251" s="955">
        <f t="shared" si="494"/>
        <v>51</v>
      </c>
      <c r="AH251" s="955">
        <f t="shared" si="495"/>
        <v>26</v>
      </c>
      <c r="AI251" s="955">
        <v>0</v>
      </c>
      <c r="AJ251" s="955">
        <v>0</v>
      </c>
      <c r="AK251" s="948">
        <f t="shared" si="496"/>
        <v>3.3000000000000003</v>
      </c>
      <c r="AL251" s="948">
        <f t="shared" si="497"/>
        <v>3.3000000000000003</v>
      </c>
      <c r="AM251" s="948">
        <f t="shared" si="498"/>
        <v>5.5120000000000005</v>
      </c>
      <c r="AN251" s="948">
        <f t="shared" si="499"/>
        <v>5.5120000000000005</v>
      </c>
      <c r="AO251" s="948">
        <f t="shared" si="500"/>
        <v>3.3000000000000003</v>
      </c>
      <c r="AP251" s="948">
        <f t="shared" si="501"/>
        <v>3.3000000000000003</v>
      </c>
      <c r="AQ251" s="948">
        <f t="shared" si="502"/>
        <v>1.8080000000000001</v>
      </c>
      <c r="AR251" s="948">
        <f t="shared" si="503"/>
        <v>0</v>
      </c>
      <c r="AS251" s="948">
        <f t="shared" si="504"/>
        <v>0</v>
      </c>
      <c r="AT251" s="948">
        <f t="shared" si="505"/>
        <v>13.200000000000001</v>
      </c>
      <c r="AU251" s="948">
        <f t="shared" si="506"/>
        <v>13.200000000000001</v>
      </c>
      <c r="AV251" s="948">
        <f t="shared" si="507"/>
        <v>11.024000000000001</v>
      </c>
      <c r="AW251" s="948">
        <f t="shared" si="508"/>
        <v>11.024000000000001</v>
      </c>
      <c r="AX251" s="948">
        <f t="shared" si="509"/>
        <v>13.200000000000001</v>
      </c>
      <c r="AY251" s="948">
        <f t="shared" si="510"/>
        <v>13.200000000000001</v>
      </c>
      <c r="AZ251" s="948">
        <f t="shared" si="511"/>
        <v>163.624</v>
      </c>
      <c r="BA251" s="948">
        <f t="shared" si="512"/>
        <v>0</v>
      </c>
      <c r="BB251" s="948">
        <f t="shared" si="513"/>
        <v>0</v>
      </c>
      <c r="BC251" s="957">
        <f t="shared" si="514"/>
        <v>1.5786666666666667</v>
      </c>
      <c r="BD251" s="957">
        <f t="shared" si="514"/>
        <v>1.5786666666666667</v>
      </c>
      <c r="BE251" s="957">
        <f t="shared" si="514"/>
        <v>1.5786666666666667</v>
      </c>
      <c r="BF251" s="957">
        <f t="shared" si="514"/>
        <v>1.5786666666666667</v>
      </c>
      <c r="BG251" s="957">
        <f t="shared" si="514"/>
        <v>1.5786666666666667</v>
      </c>
      <c r="BH251" s="957">
        <f t="shared" si="514"/>
        <v>1.5786666666666667</v>
      </c>
      <c r="BI251" s="957">
        <f t="shared" si="514"/>
        <v>0.39466666666666667</v>
      </c>
      <c r="BJ251" s="957">
        <f t="shared" si="514"/>
        <v>0</v>
      </c>
      <c r="BK251" s="957">
        <f t="shared" si="514"/>
        <v>0</v>
      </c>
      <c r="BL251" s="948">
        <f t="shared" si="515"/>
        <v>20.8384</v>
      </c>
      <c r="BM251" s="948">
        <f t="shared" si="515"/>
        <v>20.8384</v>
      </c>
      <c r="BN251" s="948">
        <f t="shared" si="515"/>
        <v>17.403221333333335</v>
      </c>
      <c r="BO251" s="948">
        <f t="shared" si="515"/>
        <v>17.403221333333335</v>
      </c>
      <c r="BP251" s="948">
        <f t="shared" si="515"/>
        <v>20.8384</v>
      </c>
      <c r="BQ251" s="948">
        <f t="shared" si="515"/>
        <v>20.8384</v>
      </c>
      <c r="BR251" s="948">
        <f t="shared" si="515"/>
        <v>64.576938666666663</v>
      </c>
      <c r="BS251" s="948">
        <f>BB251*BK251</f>
        <v>0</v>
      </c>
      <c r="BT251" s="955">
        <f>SUM(BL251:BS251)/K251</f>
        <v>105.02125363984676</v>
      </c>
    </row>
    <row r="252" spans="1:72">
      <c r="A252" s="952"/>
      <c r="B252" s="952"/>
      <c r="C252" s="950"/>
      <c r="D252" s="950"/>
      <c r="E252" s="950"/>
      <c r="F252" s="948"/>
      <c r="G252" s="948"/>
      <c r="H252" s="948"/>
      <c r="I252" s="948"/>
      <c r="J252" s="948"/>
      <c r="K252" s="948"/>
      <c r="L252" s="948"/>
      <c r="M252" s="952"/>
      <c r="N252" s="948"/>
      <c r="O252" s="950"/>
      <c r="P252" s="950"/>
      <c r="Q252" s="950"/>
      <c r="R252" s="950"/>
      <c r="S252" s="950"/>
      <c r="T252" s="950"/>
      <c r="U252" s="950"/>
      <c r="V252" s="950"/>
      <c r="W252" s="950"/>
      <c r="X252" s="950"/>
      <c r="Y252" s="950"/>
      <c r="Z252" s="950"/>
      <c r="AA252" s="950"/>
      <c r="AB252" s="950"/>
      <c r="AC252" s="950"/>
      <c r="AD252" s="950"/>
      <c r="AE252" s="950"/>
      <c r="AF252" s="955"/>
      <c r="AG252" s="955"/>
      <c r="AH252" s="955"/>
      <c r="AI252" s="955"/>
      <c r="AJ252" s="955"/>
      <c r="AK252" s="948"/>
      <c r="AL252" s="948"/>
      <c r="AM252" s="948"/>
      <c r="AN252" s="948"/>
      <c r="AO252" s="948"/>
      <c r="AP252" s="948"/>
      <c r="AQ252" s="948"/>
      <c r="AR252" s="948"/>
      <c r="AS252" s="948"/>
      <c r="AT252" s="948"/>
      <c r="AU252" s="948"/>
      <c r="AV252" s="948"/>
      <c r="AW252" s="948"/>
      <c r="AX252" s="948"/>
      <c r="AY252" s="948"/>
      <c r="AZ252" s="948"/>
      <c r="BA252" s="948"/>
      <c r="BB252" s="948"/>
      <c r="BC252" s="957"/>
      <c r="BD252" s="957"/>
      <c r="BE252" s="957"/>
      <c r="BF252" s="957"/>
      <c r="BG252" s="957"/>
      <c r="BH252" s="957"/>
      <c r="BI252" s="957"/>
      <c r="BJ252" s="957"/>
      <c r="BK252" s="957"/>
      <c r="BL252" s="948"/>
      <c r="BM252" s="948"/>
      <c r="BN252" s="948"/>
      <c r="BO252" s="948"/>
      <c r="BP252" s="948"/>
      <c r="BQ252" s="948"/>
      <c r="BR252" s="948"/>
      <c r="BS252" s="948"/>
      <c r="BT252" s="955"/>
    </row>
    <row r="253" spans="1:72">
      <c r="A253" s="960" t="s">
        <v>8</v>
      </c>
      <c r="B253" s="960" t="s">
        <v>1104</v>
      </c>
      <c r="C253" s="950"/>
      <c r="D253" s="950"/>
      <c r="E253" s="950"/>
      <c r="F253" s="948"/>
      <c r="G253" s="948"/>
      <c r="H253" s="948"/>
      <c r="I253" s="948"/>
      <c r="J253" s="948"/>
      <c r="K253" s="948"/>
      <c r="L253" s="948"/>
      <c r="M253" s="952"/>
      <c r="N253" s="959" t="str">
        <f>A253</f>
        <v>B</v>
      </c>
      <c r="O253" s="959" t="str">
        <f>B253</f>
        <v>Horizontal</v>
      </c>
      <c r="P253" s="950"/>
      <c r="Q253" s="950"/>
      <c r="R253" s="950"/>
      <c r="S253" s="950"/>
      <c r="T253" s="950"/>
      <c r="U253" s="950"/>
      <c r="V253" s="950"/>
      <c r="W253" s="950"/>
      <c r="X253" s="950"/>
      <c r="Y253" s="950"/>
      <c r="Z253" s="950"/>
      <c r="AA253" s="950"/>
      <c r="AB253" s="950"/>
      <c r="AC253" s="950"/>
      <c r="AD253" s="950"/>
      <c r="AE253" s="950"/>
      <c r="AF253" s="955"/>
      <c r="AG253" s="955"/>
      <c r="AH253" s="955"/>
      <c r="AI253" s="955"/>
      <c r="AJ253" s="955"/>
      <c r="AK253" s="948"/>
      <c r="AL253" s="948"/>
      <c r="AM253" s="948"/>
      <c r="AN253" s="948"/>
      <c r="AO253" s="948"/>
      <c r="AP253" s="948"/>
      <c r="AQ253" s="948"/>
      <c r="AR253" s="948"/>
      <c r="AS253" s="948"/>
      <c r="AT253" s="948"/>
      <c r="AU253" s="948"/>
      <c r="AV253" s="948"/>
      <c r="AW253" s="948"/>
      <c r="AX253" s="948"/>
      <c r="AY253" s="948"/>
      <c r="AZ253" s="948"/>
      <c r="BA253" s="948"/>
      <c r="BB253" s="948"/>
      <c r="BC253" s="957"/>
      <c r="BD253" s="957"/>
      <c r="BE253" s="957"/>
      <c r="BF253" s="957"/>
      <c r="BG253" s="957"/>
      <c r="BH253" s="957"/>
      <c r="BI253" s="957"/>
      <c r="BJ253" s="957"/>
      <c r="BK253" s="957"/>
      <c r="BL253" s="948"/>
      <c r="BM253" s="948"/>
      <c r="BN253" s="948"/>
      <c r="BO253" s="948"/>
      <c r="BP253" s="948"/>
      <c r="BQ253" s="948"/>
      <c r="BR253" s="948"/>
      <c r="BS253" s="948"/>
      <c r="BT253" s="955"/>
    </row>
    <row r="254" spans="1:72">
      <c r="A254" s="952">
        <v>1</v>
      </c>
      <c r="B254" s="952" t="s">
        <v>1167</v>
      </c>
      <c r="C254" s="950" t="s">
        <v>1168</v>
      </c>
      <c r="D254" s="950">
        <v>1</v>
      </c>
      <c r="E254" s="950">
        <v>1</v>
      </c>
      <c r="F254" s="948">
        <v>8</v>
      </c>
      <c r="G254" s="948">
        <v>0.25</v>
      </c>
      <c r="H254" s="948">
        <v>0.6</v>
      </c>
      <c r="I254" s="948">
        <v>0.12</v>
      </c>
      <c r="J254" s="948">
        <f t="shared" ref="J254:J259" si="519">H254-I254</f>
        <v>0.48</v>
      </c>
      <c r="K254" s="948">
        <f>F254*G254*J254*D254*E254</f>
        <v>0.96</v>
      </c>
      <c r="L254" s="948">
        <f t="shared" ref="L254" si="520">(2*J254)*F254*E254*D254+(D254*E254*F254*G254)</f>
        <v>9.68</v>
      </c>
      <c r="M254" s="952"/>
      <c r="N254" s="950">
        <v>16</v>
      </c>
      <c r="O254" s="950">
        <v>16</v>
      </c>
      <c r="P254" s="950">
        <v>16</v>
      </c>
      <c r="Q254" s="950">
        <v>16</v>
      </c>
      <c r="R254" s="950">
        <v>16</v>
      </c>
      <c r="S254" s="950">
        <v>16</v>
      </c>
      <c r="T254" s="950">
        <v>8</v>
      </c>
      <c r="U254" s="950"/>
      <c r="V254" s="950"/>
      <c r="W254" s="950">
        <v>200</v>
      </c>
      <c r="X254" s="950">
        <v>100</v>
      </c>
      <c r="Y254" s="950">
        <v>100</v>
      </c>
      <c r="Z254" s="950">
        <v>4</v>
      </c>
      <c r="AA254" s="950">
        <v>4</v>
      </c>
      <c r="AB254" s="950">
        <v>2</v>
      </c>
      <c r="AC254" s="950">
        <v>2</v>
      </c>
      <c r="AD254" s="950">
        <v>4</v>
      </c>
      <c r="AE254" s="950">
        <v>4</v>
      </c>
      <c r="AF254" s="955">
        <f t="shared" ref="AF254:AF259" si="521">(F254/4)/(W254/1000)+1</f>
        <v>11</v>
      </c>
      <c r="AG254" s="955">
        <f t="shared" ref="AG254:AG259" si="522">(F254/2)/(X254/1000)+1</f>
        <v>41</v>
      </c>
      <c r="AH254" s="955">
        <f t="shared" ref="AH254:AH259" si="523">(F254/4)/(Y254/1000)+1</f>
        <v>21</v>
      </c>
      <c r="AI254" s="955">
        <v>0</v>
      </c>
      <c r="AJ254" s="955">
        <v>0</v>
      </c>
      <c r="AK254" s="948">
        <f t="shared" ref="AK254:AK259" si="524">(F254/4)+(20*N254/1000)+(10*N254/1000)+(8*N254/1000)+(6*2*N254/1000)</f>
        <v>2.8000000000000003</v>
      </c>
      <c r="AL254" s="948">
        <f t="shared" ref="AL254:AL259" si="525">(F254/4)+(20*O254/1000)+(10*O254/1000)+(8*O254/1000)+(6*2*O254/1000)</f>
        <v>2.8000000000000003</v>
      </c>
      <c r="AM254" s="948">
        <f t="shared" ref="AM254:AM259" si="526">(F254/2)+(20*P254/1000)+(6*2*P254/1000)</f>
        <v>4.5120000000000005</v>
      </c>
      <c r="AN254" s="948">
        <f t="shared" ref="AN254:AN259" si="527">(F254/2)+(20*Q254/1000)+(6*2*Q254/1000)</f>
        <v>4.5120000000000005</v>
      </c>
      <c r="AO254" s="948">
        <f t="shared" ref="AO254:AO259" si="528">(F254/4)+(20*R254/1000)+(10*R254/1000)+(8*R254/1000)+(6*2*R254/1000)</f>
        <v>2.8000000000000003</v>
      </c>
      <c r="AP254" s="948">
        <f t="shared" ref="AP254:AP259" si="529">(F254/4)+(20*S254/1000)+(10*S254/1000)+(8*S254/1000)+(6*2*S254/1000)</f>
        <v>2.8000000000000003</v>
      </c>
      <c r="AQ254" s="948">
        <f t="shared" ref="AQ254:AQ259" si="530">(2*G254)+(2*H254)+(6*T254/1000)-(8*0.03)</f>
        <v>1.508</v>
      </c>
      <c r="AR254" s="948">
        <f t="shared" ref="AR254:AR259" si="531">((H254)+(2*6*U254/1000)-(2*0.03))*AI254</f>
        <v>0</v>
      </c>
      <c r="AS254" s="948">
        <f t="shared" ref="AS254:AS259" si="532">((G254)+(2*6*V254/1000)-(2*0.03))*AJ254</f>
        <v>0</v>
      </c>
      <c r="AT254" s="948">
        <f t="shared" ref="AT254:AT259" si="533">AK254*Z254*E254*D254</f>
        <v>11.200000000000001</v>
      </c>
      <c r="AU254" s="948">
        <f t="shared" ref="AU254:AU259" si="534">AL254*AA254*E254*D254</f>
        <v>11.200000000000001</v>
      </c>
      <c r="AV254" s="948">
        <f t="shared" ref="AV254:AV259" si="535">AM254*AB254*E254*D254</f>
        <v>9.0240000000000009</v>
      </c>
      <c r="AW254" s="948">
        <f t="shared" ref="AW254:AW259" si="536">AN254*AC254*E254*D254</f>
        <v>9.0240000000000009</v>
      </c>
      <c r="AX254" s="948">
        <f t="shared" ref="AX254:AX259" si="537">AO254*AD254*E254*D254</f>
        <v>11.200000000000001</v>
      </c>
      <c r="AY254" s="948">
        <f t="shared" ref="AY254:AY259" si="538">AP254*AE254*E254*D254</f>
        <v>11.200000000000001</v>
      </c>
      <c r="AZ254" s="948">
        <f t="shared" ref="AZ254:AZ259" si="539">AQ254*(AF254+AG254+AH254)*E254*D254</f>
        <v>110.084</v>
      </c>
      <c r="BA254" s="948">
        <f t="shared" ref="BA254:BA259" si="540">AR254*(AF254+AG254+AH254)*E254*D254</f>
        <v>0</v>
      </c>
      <c r="BB254" s="948">
        <f t="shared" ref="BB254:BB259" si="541">AS254*(AF254+AG254+AH254)*E254*D254</f>
        <v>0</v>
      </c>
      <c r="BC254" s="957">
        <f t="shared" ref="BC254:BK259" si="542">N254*N254*0.074/12</f>
        <v>1.5786666666666667</v>
      </c>
      <c r="BD254" s="957">
        <f t="shared" si="542"/>
        <v>1.5786666666666667</v>
      </c>
      <c r="BE254" s="957">
        <f t="shared" si="542"/>
        <v>1.5786666666666667</v>
      </c>
      <c r="BF254" s="957">
        <f t="shared" si="542"/>
        <v>1.5786666666666667</v>
      </c>
      <c r="BG254" s="957">
        <f t="shared" si="542"/>
        <v>1.5786666666666667</v>
      </c>
      <c r="BH254" s="957">
        <f t="shared" si="542"/>
        <v>1.5786666666666667</v>
      </c>
      <c r="BI254" s="957">
        <f t="shared" si="542"/>
        <v>0.39466666666666667</v>
      </c>
      <c r="BJ254" s="957">
        <f t="shared" si="542"/>
        <v>0</v>
      </c>
      <c r="BK254" s="957">
        <f t="shared" si="542"/>
        <v>0</v>
      </c>
      <c r="BL254" s="948">
        <f t="shared" ref="BL254:BR259" si="543">AT254*BC254</f>
        <v>17.68106666666667</v>
      </c>
      <c r="BM254" s="948">
        <f t="shared" si="543"/>
        <v>17.68106666666667</v>
      </c>
      <c r="BN254" s="948">
        <f t="shared" si="543"/>
        <v>14.245888000000001</v>
      </c>
      <c r="BO254" s="948">
        <f t="shared" si="543"/>
        <v>14.245888000000001</v>
      </c>
      <c r="BP254" s="948">
        <f t="shared" si="543"/>
        <v>17.68106666666667</v>
      </c>
      <c r="BQ254" s="948">
        <f t="shared" si="543"/>
        <v>17.68106666666667</v>
      </c>
      <c r="BR254" s="948">
        <f t="shared" si="543"/>
        <v>43.446485333333335</v>
      </c>
      <c r="BS254" s="948">
        <f t="shared" ref="BS254:BS259" si="544">BB254*BK254</f>
        <v>0</v>
      </c>
      <c r="BT254" s="955">
        <f t="shared" ref="BT254:BT259" si="545">SUM(BL254:BS254)/K254</f>
        <v>148.60680000000002</v>
      </c>
    </row>
    <row r="255" spans="1:72">
      <c r="A255" s="952">
        <v>2</v>
      </c>
      <c r="B255" s="952" t="s">
        <v>1169</v>
      </c>
      <c r="C255" s="950" t="s">
        <v>1159</v>
      </c>
      <c r="D255" s="950">
        <v>1</v>
      </c>
      <c r="E255" s="950">
        <v>1</v>
      </c>
      <c r="F255" s="948">
        <v>28</v>
      </c>
      <c r="G255" s="948">
        <v>0.3</v>
      </c>
      <c r="H255" s="948">
        <v>0.7</v>
      </c>
      <c r="I255" s="948">
        <v>0.12</v>
      </c>
      <c r="J255" s="948">
        <f t="shared" si="519"/>
        <v>0.57999999999999996</v>
      </c>
      <c r="K255" s="948">
        <f t="shared" ref="K255:K259" si="546">F255*G255*J255*D255*E255</f>
        <v>4.8719999999999999</v>
      </c>
      <c r="L255" s="948">
        <f t="shared" ref="L255:L259" si="547">(2*J255)*F255*E255*D255</f>
        <v>32.479999999999997</v>
      </c>
      <c r="M255" s="952"/>
      <c r="N255" s="950">
        <v>16</v>
      </c>
      <c r="O255" s="950">
        <v>16</v>
      </c>
      <c r="P255" s="950">
        <v>16</v>
      </c>
      <c r="Q255" s="950">
        <v>16</v>
      </c>
      <c r="R255" s="950">
        <v>16</v>
      </c>
      <c r="S255" s="950">
        <v>16</v>
      </c>
      <c r="T255" s="950">
        <v>8</v>
      </c>
      <c r="U255" s="950"/>
      <c r="V255" s="950"/>
      <c r="W255" s="950">
        <v>200</v>
      </c>
      <c r="X255" s="950">
        <v>100</v>
      </c>
      <c r="Y255" s="950">
        <v>100</v>
      </c>
      <c r="Z255" s="950">
        <v>4</v>
      </c>
      <c r="AA255" s="950">
        <v>4</v>
      </c>
      <c r="AB255" s="950">
        <v>2</v>
      </c>
      <c r="AC255" s="950">
        <v>2</v>
      </c>
      <c r="AD255" s="950">
        <v>4</v>
      </c>
      <c r="AE255" s="950">
        <v>4</v>
      </c>
      <c r="AF255" s="955">
        <f t="shared" si="521"/>
        <v>36</v>
      </c>
      <c r="AG255" s="955">
        <f t="shared" si="522"/>
        <v>141</v>
      </c>
      <c r="AH255" s="955">
        <f t="shared" si="523"/>
        <v>71</v>
      </c>
      <c r="AI255" s="955">
        <v>0</v>
      </c>
      <c r="AJ255" s="955">
        <v>0</v>
      </c>
      <c r="AK255" s="948">
        <f t="shared" si="524"/>
        <v>7.8000000000000007</v>
      </c>
      <c r="AL255" s="948">
        <f t="shared" si="525"/>
        <v>7.8000000000000007</v>
      </c>
      <c r="AM255" s="948">
        <f t="shared" si="526"/>
        <v>14.512</v>
      </c>
      <c r="AN255" s="948">
        <f t="shared" si="527"/>
        <v>14.512</v>
      </c>
      <c r="AO255" s="948">
        <f t="shared" si="528"/>
        <v>7.8000000000000007</v>
      </c>
      <c r="AP255" s="948">
        <f t="shared" si="529"/>
        <v>7.8000000000000007</v>
      </c>
      <c r="AQ255" s="948">
        <f t="shared" si="530"/>
        <v>1.8080000000000001</v>
      </c>
      <c r="AR255" s="948">
        <f t="shared" si="531"/>
        <v>0</v>
      </c>
      <c r="AS255" s="948">
        <f t="shared" si="532"/>
        <v>0</v>
      </c>
      <c r="AT255" s="948">
        <f t="shared" si="533"/>
        <v>31.200000000000003</v>
      </c>
      <c r="AU255" s="948">
        <f t="shared" si="534"/>
        <v>31.200000000000003</v>
      </c>
      <c r="AV255" s="948">
        <f t="shared" si="535"/>
        <v>29.024000000000001</v>
      </c>
      <c r="AW255" s="948">
        <f t="shared" si="536"/>
        <v>29.024000000000001</v>
      </c>
      <c r="AX255" s="948">
        <f t="shared" si="537"/>
        <v>31.200000000000003</v>
      </c>
      <c r="AY255" s="948">
        <f t="shared" si="538"/>
        <v>31.200000000000003</v>
      </c>
      <c r="AZ255" s="948">
        <f t="shared" si="539"/>
        <v>448.38400000000001</v>
      </c>
      <c r="BA255" s="948">
        <f t="shared" si="540"/>
        <v>0</v>
      </c>
      <c r="BB255" s="948">
        <f t="shared" si="541"/>
        <v>0</v>
      </c>
      <c r="BC255" s="957">
        <f t="shared" si="542"/>
        <v>1.5786666666666667</v>
      </c>
      <c r="BD255" s="957">
        <f t="shared" si="542"/>
        <v>1.5786666666666667</v>
      </c>
      <c r="BE255" s="957">
        <f t="shared" si="542"/>
        <v>1.5786666666666667</v>
      </c>
      <c r="BF255" s="957">
        <f t="shared" si="542"/>
        <v>1.5786666666666667</v>
      </c>
      <c r="BG255" s="957">
        <f t="shared" si="542"/>
        <v>1.5786666666666667</v>
      </c>
      <c r="BH255" s="957">
        <f t="shared" si="542"/>
        <v>1.5786666666666667</v>
      </c>
      <c r="BI255" s="957">
        <f t="shared" si="542"/>
        <v>0.39466666666666667</v>
      </c>
      <c r="BJ255" s="957">
        <f t="shared" si="542"/>
        <v>0</v>
      </c>
      <c r="BK255" s="957">
        <f t="shared" si="542"/>
        <v>0</v>
      </c>
      <c r="BL255" s="948">
        <f t="shared" si="543"/>
        <v>49.254400000000004</v>
      </c>
      <c r="BM255" s="948">
        <f t="shared" si="543"/>
        <v>49.254400000000004</v>
      </c>
      <c r="BN255" s="948">
        <f t="shared" si="543"/>
        <v>45.819221333333331</v>
      </c>
      <c r="BO255" s="948">
        <f t="shared" si="543"/>
        <v>45.819221333333331</v>
      </c>
      <c r="BP255" s="948">
        <f t="shared" si="543"/>
        <v>49.254400000000004</v>
      </c>
      <c r="BQ255" s="948">
        <f t="shared" si="543"/>
        <v>49.254400000000004</v>
      </c>
      <c r="BR255" s="948">
        <f t="shared" si="543"/>
        <v>176.96221866666667</v>
      </c>
      <c r="BS255" s="948">
        <f t="shared" si="544"/>
        <v>0</v>
      </c>
      <c r="BT255" s="955">
        <f t="shared" si="545"/>
        <v>95.57025068418173</v>
      </c>
    </row>
    <row r="256" spans="1:72">
      <c r="A256" s="952">
        <v>3</v>
      </c>
      <c r="B256" s="952" t="s">
        <v>1170</v>
      </c>
      <c r="C256" s="950" t="s">
        <v>1171</v>
      </c>
      <c r="D256" s="950">
        <v>1</v>
      </c>
      <c r="E256" s="950">
        <v>1</v>
      </c>
      <c r="F256" s="948">
        <v>32</v>
      </c>
      <c r="G256" s="948">
        <v>0.25</v>
      </c>
      <c r="H256" s="948">
        <v>0.6</v>
      </c>
      <c r="I256" s="948">
        <v>0.12</v>
      </c>
      <c r="J256" s="948">
        <f t="shared" si="519"/>
        <v>0.48</v>
      </c>
      <c r="K256" s="948">
        <f t="shared" si="546"/>
        <v>3.84</v>
      </c>
      <c r="L256" s="948">
        <f t="shared" si="547"/>
        <v>30.72</v>
      </c>
      <c r="M256" s="952"/>
      <c r="N256" s="950">
        <v>16</v>
      </c>
      <c r="O256" s="950">
        <v>16</v>
      </c>
      <c r="P256" s="950">
        <v>16</v>
      </c>
      <c r="Q256" s="950">
        <v>16</v>
      </c>
      <c r="R256" s="950">
        <v>16</v>
      </c>
      <c r="S256" s="950">
        <v>16</v>
      </c>
      <c r="T256" s="950">
        <v>8</v>
      </c>
      <c r="U256" s="950"/>
      <c r="V256" s="950"/>
      <c r="W256" s="950">
        <v>200</v>
      </c>
      <c r="X256" s="950">
        <v>100</v>
      </c>
      <c r="Y256" s="950">
        <v>100</v>
      </c>
      <c r="Z256" s="950">
        <v>9</v>
      </c>
      <c r="AA256" s="950">
        <v>6</v>
      </c>
      <c r="AB256" s="950">
        <v>4</v>
      </c>
      <c r="AC256" s="950">
        <v>4</v>
      </c>
      <c r="AD256" s="950">
        <v>9</v>
      </c>
      <c r="AE256" s="950">
        <v>6</v>
      </c>
      <c r="AF256" s="955">
        <f t="shared" si="521"/>
        <v>41</v>
      </c>
      <c r="AG256" s="955">
        <f t="shared" si="522"/>
        <v>161</v>
      </c>
      <c r="AH256" s="955">
        <f t="shared" si="523"/>
        <v>81</v>
      </c>
      <c r="AI256" s="955">
        <v>0</v>
      </c>
      <c r="AJ256" s="955">
        <v>0</v>
      </c>
      <c r="AK256" s="948">
        <f t="shared" si="524"/>
        <v>8.8000000000000007</v>
      </c>
      <c r="AL256" s="948">
        <f t="shared" si="525"/>
        <v>8.8000000000000007</v>
      </c>
      <c r="AM256" s="948">
        <f t="shared" si="526"/>
        <v>16.512</v>
      </c>
      <c r="AN256" s="948">
        <f t="shared" si="527"/>
        <v>16.512</v>
      </c>
      <c r="AO256" s="948">
        <f t="shared" si="528"/>
        <v>8.8000000000000007</v>
      </c>
      <c r="AP256" s="948">
        <f t="shared" si="529"/>
        <v>8.8000000000000007</v>
      </c>
      <c r="AQ256" s="948">
        <f t="shared" si="530"/>
        <v>1.508</v>
      </c>
      <c r="AR256" s="948">
        <f t="shared" si="531"/>
        <v>0</v>
      </c>
      <c r="AS256" s="948">
        <f t="shared" si="532"/>
        <v>0</v>
      </c>
      <c r="AT256" s="948">
        <f t="shared" si="533"/>
        <v>79.2</v>
      </c>
      <c r="AU256" s="948">
        <f t="shared" si="534"/>
        <v>52.800000000000004</v>
      </c>
      <c r="AV256" s="948">
        <f t="shared" si="535"/>
        <v>66.048000000000002</v>
      </c>
      <c r="AW256" s="948">
        <f t="shared" si="536"/>
        <v>66.048000000000002</v>
      </c>
      <c r="AX256" s="948">
        <f t="shared" si="537"/>
        <v>79.2</v>
      </c>
      <c r="AY256" s="948">
        <f t="shared" si="538"/>
        <v>52.800000000000004</v>
      </c>
      <c r="AZ256" s="948">
        <f t="shared" si="539"/>
        <v>426.76400000000001</v>
      </c>
      <c r="BA256" s="948">
        <f t="shared" si="540"/>
        <v>0</v>
      </c>
      <c r="BB256" s="948">
        <f t="shared" si="541"/>
        <v>0</v>
      </c>
      <c r="BC256" s="957">
        <f t="shared" si="542"/>
        <v>1.5786666666666667</v>
      </c>
      <c r="BD256" s="957">
        <f t="shared" si="542"/>
        <v>1.5786666666666667</v>
      </c>
      <c r="BE256" s="957">
        <f t="shared" si="542"/>
        <v>1.5786666666666667</v>
      </c>
      <c r="BF256" s="957">
        <f t="shared" si="542"/>
        <v>1.5786666666666667</v>
      </c>
      <c r="BG256" s="957">
        <f t="shared" si="542"/>
        <v>1.5786666666666667</v>
      </c>
      <c r="BH256" s="957">
        <f t="shared" si="542"/>
        <v>1.5786666666666667</v>
      </c>
      <c r="BI256" s="957">
        <f t="shared" si="542"/>
        <v>0.39466666666666667</v>
      </c>
      <c r="BJ256" s="957">
        <f t="shared" si="542"/>
        <v>0</v>
      </c>
      <c r="BK256" s="957">
        <f t="shared" si="542"/>
        <v>0</v>
      </c>
      <c r="BL256" s="948">
        <f t="shared" si="543"/>
        <v>125.0304</v>
      </c>
      <c r="BM256" s="948">
        <f t="shared" si="543"/>
        <v>83.3536</v>
      </c>
      <c r="BN256" s="948">
        <f t="shared" si="543"/>
        <v>104.267776</v>
      </c>
      <c r="BO256" s="948">
        <f t="shared" si="543"/>
        <v>104.267776</v>
      </c>
      <c r="BP256" s="948">
        <f t="shared" si="543"/>
        <v>125.0304</v>
      </c>
      <c r="BQ256" s="948">
        <f t="shared" si="543"/>
        <v>83.3536</v>
      </c>
      <c r="BR256" s="948">
        <f t="shared" si="543"/>
        <v>168.42952533333334</v>
      </c>
      <c r="BS256" s="948">
        <f t="shared" si="544"/>
        <v>0</v>
      </c>
      <c r="BT256" s="955">
        <f t="shared" si="545"/>
        <v>206.70132222222225</v>
      </c>
    </row>
    <row r="257" spans="1:72">
      <c r="A257" s="952">
        <v>4</v>
      </c>
      <c r="B257" s="952" t="s">
        <v>1183</v>
      </c>
      <c r="C257" s="950" t="s">
        <v>1172</v>
      </c>
      <c r="D257" s="950">
        <v>1</v>
      </c>
      <c r="E257" s="950">
        <v>1</v>
      </c>
      <c r="F257" s="948">
        <v>24</v>
      </c>
      <c r="G257" s="948">
        <v>0.35</v>
      </c>
      <c r="H257" s="948">
        <v>0.8</v>
      </c>
      <c r="I257" s="948">
        <v>0.12</v>
      </c>
      <c r="J257" s="948">
        <f t="shared" si="519"/>
        <v>0.68</v>
      </c>
      <c r="K257" s="948">
        <f t="shared" si="546"/>
        <v>5.7119999999999997</v>
      </c>
      <c r="L257" s="948">
        <f t="shared" si="547"/>
        <v>32.64</v>
      </c>
      <c r="M257" s="952"/>
      <c r="N257" s="950">
        <v>25</v>
      </c>
      <c r="O257" s="950">
        <v>25</v>
      </c>
      <c r="P257" s="950">
        <v>25</v>
      </c>
      <c r="Q257" s="950">
        <v>25</v>
      </c>
      <c r="R257" s="950">
        <v>25</v>
      </c>
      <c r="S257" s="950">
        <v>25</v>
      </c>
      <c r="T257" s="950">
        <v>8</v>
      </c>
      <c r="U257" s="950"/>
      <c r="V257" s="950"/>
      <c r="W257" s="950">
        <v>200</v>
      </c>
      <c r="X257" s="950">
        <v>100</v>
      </c>
      <c r="Y257" s="950">
        <v>100</v>
      </c>
      <c r="Z257" s="950">
        <v>9</v>
      </c>
      <c r="AA257" s="950">
        <v>6</v>
      </c>
      <c r="AB257" s="950">
        <v>4</v>
      </c>
      <c r="AC257" s="950">
        <v>4</v>
      </c>
      <c r="AD257" s="950">
        <v>9</v>
      </c>
      <c r="AE257" s="950">
        <v>6</v>
      </c>
      <c r="AF257" s="955">
        <f t="shared" si="521"/>
        <v>31</v>
      </c>
      <c r="AG257" s="955">
        <f t="shared" si="522"/>
        <v>121</v>
      </c>
      <c r="AH257" s="955">
        <f t="shared" si="523"/>
        <v>61</v>
      </c>
      <c r="AI257" s="955">
        <v>0</v>
      </c>
      <c r="AJ257" s="955">
        <v>0</v>
      </c>
      <c r="AK257" s="948">
        <f t="shared" si="524"/>
        <v>7.25</v>
      </c>
      <c r="AL257" s="948">
        <f t="shared" si="525"/>
        <v>7.25</v>
      </c>
      <c r="AM257" s="948">
        <f t="shared" si="526"/>
        <v>12.8</v>
      </c>
      <c r="AN257" s="948">
        <f t="shared" si="527"/>
        <v>12.8</v>
      </c>
      <c r="AO257" s="948">
        <f t="shared" si="528"/>
        <v>7.25</v>
      </c>
      <c r="AP257" s="948">
        <f t="shared" si="529"/>
        <v>7.25</v>
      </c>
      <c r="AQ257" s="948">
        <f t="shared" si="530"/>
        <v>2.1079999999999997</v>
      </c>
      <c r="AR257" s="948">
        <f t="shared" si="531"/>
        <v>0</v>
      </c>
      <c r="AS257" s="948">
        <f t="shared" si="532"/>
        <v>0</v>
      </c>
      <c r="AT257" s="948">
        <f t="shared" si="533"/>
        <v>65.25</v>
      </c>
      <c r="AU257" s="948">
        <f t="shared" si="534"/>
        <v>43.5</v>
      </c>
      <c r="AV257" s="948">
        <f t="shared" si="535"/>
        <v>51.2</v>
      </c>
      <c r="AW257" s="948">
        <f t="shared" si="536"/>
        <v>51.2</v>
      </c>
      <c r="AX257" s="948">
        <f t="shared" si="537"/>
        <v>65.25</v>
      </c>
      <c r="AY257" s="948">
        <f t="shared" si="538"/>
        <v>43.5</v>
      </c>
      <c r="AZ257" s="948">
        <f t="shared" si="539"/>
        <v>449.00399999999991</v>
      </c>
      <c r="BA257" s="948">
        <f t="shared" si="540"/>
        <v>0</v>
      </c>
      <c r="BB257" s="948">
        <f t="shared" si="541"/>
        <v>0</v>
      </c>
      <c r="BC257" s="957">
        <f t="shared" si="542"/>
        <v>3.8541666666666665</v>
      </c>
      <c r="BD257" s="957">
        <f t="shared" si="542"/>
        <v>3.8541666666666665</v>
      </c>
      <c r="BE257" s="957">
        <f t="shared" si="542"/>
        <v>3.8541666666666665</v>
      </c>
      <c r="BF257" s="957">
        <f t="shared" si="542"/>
        <v>3.8541666666666665</v>
      </c>
      <c r="BG257" s="957">
        <f t="shared" si="542"/>
        <v>3.8541666666666665</v>
      </c>
      <c r="BH257" s="957">
        <f t="shared" si="542"/>
        <v>3.8541666666666665</v>
      </c>
      <c r="BI257" s="957">
        <f t="shared" si="542"/>
        <v>0.39466666666666667</v>
      </c>
      <c r="BJ257" s="957">
        <f t="shared" si="542"/>
        <v>0</v>
      </c>
      <c r="BK257" s="957">
        <f t="shared" si="542"/>
        <v>0</v>
      </c>
      <c r="BL257" s="948">
        <f t="shared" si="543"/>
        <v>251.484375</v>
      </c>
      <c r="BM257" s="948">
        <f t="shared" si="543"/>
        <v>167.65625</v>
      </c>
      <c r="BN257" s="948">
        <f t="shared" si="543"/>
        <v>197.33333333333334</v>
      </c>
      <c r="BO257" s="948">
        <f t="shared" si="543"/>
        <v>197.33333333333334</v>
      </c>
      <c r="BP257" s="948">
        <f t="shared" si="543"/>
        <v>251.484375</v>
      </c>
      <c r="BQ257" s="948">
        <f t="shared" si="543"/>
        <v>167.65625</v>
      </c>
      <c r="BR257" s="948">
        <f t="shared" si="543"/>
        <v>177.20691199999996</v>
      </c>
      <c r="BS257" s="948">
        <f t="shared" si="544"/>
        <v>0</v>
      </c>
      <c r="BT257" s="955">
        <f t="shared" si="545"/>
        <v>246.8758453548086</v>
      </c>
    </row>
    <row r="258" spans="1:72">
      <c r="A258" s="952">
        <v>5</v>
      </c>
      <c r="B258" s="952" t="s">
        <v>1173</v>
      </c>
      <c r="C258" s="950" t="s">
        <v>1174</v>
      </c>
      <c r="D258" s="950">
        <v>1</v>
      </c>
      <c r="E258" s="950">
        <v>1</v>
      </c>
      <c r="F258" s="948">
        <v>5.4</v>
      </c>
      <c r="G258" s="948">
        <v>0.25</v>
      </c>
      <c r="H258" s="948">
        <v>0.6</v>
      </c>
      <c r="I258" s="948">
        <v>0.12</v>
      </c>
      <c r="J258" s="948">
        <f t="shared" si="519"/>
        <v>0.48</v>
      </c>
      <c r="K258" s="948">
        <f t="shared" si="546"/>
        <v>0.64800000000000002</v>
      </c>
      <c r="L258" s="948">
        <f t="shared" si="547"/>
        <v>5.1840000000000002</v>
      </c>
      <c r="M258" s="952"/>
      <c r="N258" s="950">
        <v>16</v>
      </c>
      <c r="O258" s="950">
        <v>16</v>
      </c>
      <c r="P258" s="950">
        <v>16</v>
      </c>
      <c r="Q258" s="950">
        <v>16</v>
      </c>
      <c r="R258" s="950">
        <v>16</v>
      </c>
      <c r="S258" s="950">
        <v>16</v>
      </c>
      <c r="T258" s="950">
        <v>8</v>
      </c>
      <c r="U258" s="950"/>
      <c r="V258" s="950"/>
      <c r="W258" s="950">
        <v>200</v>
      </c>
      <c r="X258" s="950">
        <v>100</v>
      </c>
      <c r="Y258" s="950">
        <v>100</v>
      </c>
      <c r="Z258" s="950">
        <v>9</v>
      </c>
      <c r="AA258" s="950">
        <v>6</v>
      </c>
      <c r="AB258" s="950">
        <v>4</v>
      </c>
      <c r="AC258" s="950">
        <v>4</v>
      </c>
      <c r="AD258" s="950">
        <v>9</v>
      </c>
      <c r="AE258" s="950">
        <v>6</v>
      </c>
      <c r="AF258" s="955">
        <f t="shared" si="521"/>
        <v>7.75</v>
      </c>
      <c r="AG258" s="955">
        <f t="shared" si="522"/>
        <v>28</v>
      </c>
      <c r="AH258" s="955">
        <f t="shared" si="523"/>
        <v>14.5</v>
      </c>
      <c r="AI258" s="955">
        <v>0</v>
      </c>
      <c r="AJ258" s="955">
        <v>0</v>
      </c>
      <c r="AK258" s="948">
        <f t="shared" si="524"/>
        <v>2.1500000000000004</v>
      </c>
      <c r="AL258" s="948">
        <f t="shared" si="525"/>
        <v>2.1500000000000004</v>
      </c>
      <c r="AM258" s="948">
        <f t="shared" si="526"/>
        <v>3.2120000000000002</v>
      </c>
      <c r="AN258" s="948">
        <f t="shared" si="527"/>
        <v>3.2120000000000002</v>
      </c>
      <c r="AO258" s="948">
        <f t="shared" si="528"/>
        <v>2.1500000000000004</v>
      </c>
      <c r="AP258" s="948">
        <f t="shared" si="529"/>
        <v>2.1500000000000004</v>
      </c>
      <c r="AQ258" s="948">
        <f t="shared" si="530"/>
        <v>1.508</v>
      </c>
      <c r="AR258" s="948">
        <f t="shared" si="531"/>
        <v>0</v>
      </c>
      <c r="AS258" s="948">
        <f t="shared" si="532"/>
        <v>0</v>
      </c>
      <c r="AT258" s="948">
        <f t="shared" si="533"/>
        <v>19.350000000000001</v>
      </c>
      <c r="AU258" s="948">
        <f t="shared" si="534"/>
        <v>12.900000000000002</v>
      </c>
      <c r="AV258" s="948">
        <f t="shared" si="535"/>
        <v>12.848000000000001</v>
      </c>
      <c r="AW258" s="948">
        <f t="shared" si="536"/>
        <v>12.848000000000001</v>
      </c>
      <c r="AX258" s="948">
        <f t="shared" si="537"/>
        <v>19.350000000000001</v>
      </c>
      <c r="AY258" s="948">
        <f t="shared" si="538"/>
        <v>12.900000000000002</v>
      </c>
      <c r="AZ258" s="948">
        <f t="shared" si="539"/>
        <v>75.777000000000001</v>
      </c>
      <c r="BA258" s="948">
        <f t="shared" si="540"/>
        <v>0</v>
      </c>
      <c r="BB258" s="948">
        <f t="shared" si="541"/>
        <v>0</v>
      </c>
      <c r="BC258" s="957">
        <f t="shared" si="542"/>
        <v>1.5786666666666667</v>
      </c>
      <c r="BD258" s="957">
        <f t="shared" si="542"/>
        <v>1.5786666666666667</v>
      </c>
      <c r="BE258" s="957">
        <f t="shared" si="542"/>
        <v>1.5786666666666667</v>
      </c>
      <c r="BF258" s="957">
        <f t="shared" si="542"/>
        <v>1.5786666666666667</v>
      </c>
      <c r="BG258" s="957">
        <f t="shared" si="542"/>
        <v>1.5786666666666667</v>
      </c>
      <c r="BH258" s="957">
        <f t="shared" si="542"/>
        <v>1.5786666666666667</v>
      </c>
      <c r="BI258" s="957">
        <f t="shared" si="542"/>
        <v>0.39466666666666667</v>
      </c>
      <c r="BJ258" s="957">
        <f t="shared" si="542"/>
        <v>0</v>
      </c>
      <c r="BK258" s="957">
        <f t="shared" si="542"/>
        <v>0</v>
      </c>
      <c r="BL258" s="948">
        <f t="shared" si="543"/>
        <v>30.547200000000004</v>
      </c>
      <c r="BM258" s="948">
        <f t="shared" si="543"/>
        <v>20.364800000000002</v>
      </c>
      <c r="BN258" s="948">
        <f t="shared" si="543"/>
        <v>20.282709333333333</v>
      </c>
      <c r="BO258" s="948">
        <f t="shared" si="543"/>
        <v>20.282709333333333</v>
      </c>
      <c r="BP258" s="948">
        <f t="shared" si="543"/>
        <v>30.547200000000004</v>
      </c>
      <c r="BQ258" s="948">
        <f t="shared" si="543"/>
        <v>20.364800000000002</v>
      </c>
      <c r="BR258" s="948">
        <f t="shared" si="543"/>
        <v>29.906656000000002</v>
      </c>
      <c r="BS258" s="948">
        <f t="shared" si="544"/>
        <v>0</v>
      </c>
      <c r="BT258" s="955">
        <f t="shared" si="545"/>
        <v>265.88900411522633</v>
      </c>
    </row>
    <row r="259" spans="1:72">
      <c r="A259" s="952">
        <v>6</v>
      </c>
      <c r="B259" s="952" t="s">
        <v>1175</v>
      </c>
      <c r="C259" s="950" t="s">
        <v>1176</v>
      </c>
      <c r="D259" s="950">
        <v>1</v>
      </c>
      <c r="E259" s="950">
        <v>1</v>
      </c>
      <c r="F259" s="948">
        <v>35.4</v>
      </c>
      <c r="G259" s="948">
        <v>0.25</v>
      </c>
      <c r="H259" s="948">
        <v>0.6</v>
      </c>
      <c r="I259" s="948">
        <v>0.12</v>
      </c>
      <c r="J259" s="948">
        <f t="shared" si="519"/>
        <v>0.48</v>
      </c>
      <c r="K259" s="948">
        <f t="shared" si="546"/>
        <v>4.2479999999999993</v>
      </c>
      <c r="L259" s="948">
        <f t="shared" si="547"/>
        <v>33.983999999999995</v>
      </c>
      <c r="M259" s="952"/>
      <c r="N259" s="950">
        <v>16</v>
      </c>
      <c r="O259" s="950">
        <v>16</v>
      </c>
      <c r="P259" s="950">
        <v>16</v>
      </c>
      <c r="Q259" s="950">
        <v>16</v>
      </c>
      <c r="R259" s="950">
        <v>16</v>
      </c>
      <c r="S259" s="950">
        <v>16</v>
      </c>
      <c r="T259" s="950">
        <v>8</v>
      </c>
      <c r="U259" s="950"/>
      <c r="V259" s="950"/>
      <c r="W259" s="950">
        <v>200</v>
      </c>
      <c r="X259" s="950">
        <v>100</v>
      </c>
      <c r="Y259" s="950">
        <v>100</v>
      </c>
      <c r="Z259" s="950">
        <v>9</v>
      </c>
      <c r="AA259" s="950">
        <v>6</v>
      </c>
      <c r="AB259" s="950">
        <v>4</v>
      </c>
      <c r="AC259" s="950">
        <v>4</v>
      </c>
      <c r="AD259" s="950">
        <v>9</v>
      </c>
      <c r="AE259" s="950">
        <v>6</v>
      </c>
      <c r="AF259" s="955">
        <f t="shared" si="521"/>
        <v>45.249999999999993</v>
      </c>
      <c r="AG259" s="955">
        <f t="shared" si="522"/>
        <v>177.99999999999997</v>
      </c>
      <c r="AH259" s="955">
        <f t="shared" si="523"/>
        <v>89.499999999999986</v>
      </c>
      <c r="AI259" s="955">
        <v>0</v>
      </c>
      <c r="AJ259" s="955">
        <v>0</v>
      </c>
      <c r="AK259" s="948">
        <f t="shared" si="524"/>
        <v>9.65</v>
      </c>
      <c r="AL259" s="948">
        <f t="shared" si="525"/>
        <v>9.65</v>
      </c>
      <c r="AM259" s="948">
        <f t="shared" si="526"/>
        <v>18.212</v>
      </c>
      <c r="AN259" s="948">
        <f t="shared" si="527"/>
        <v>18.212</v>
      </c>
      <c r="AO259" s="948">
        <f t="shared" si="528"/>
        <v>9.65</v>
      </c>
      <c r="AP259" s="948">
        <f t="shared" si="529"/>
        <v>9.65</v>
      </c>
      <c r="AQ259" s="948">
        <f t="shared" si="530"/>
        <v>1.508</v>
      </c>
      <c r="AR259" s="948">
        <f t="shared" si="531"/>
        <v>0</v>
      </c>
      <c r="AS259" s="948">
        <f t="shared" si="532"/>
        <v>0</v>
      </c>
      <c r="AT259" s="948">
        <f t="shared" si="533"/>
        <v>86.850000000000009</v>
      </c>
      <c r="AU259" s="948">
        <f t="shared" si="534"/>
        <v>57.900000000000006</v>
      </c>
      <c r="AV259" s="948">
        <f t="shared" si="535"/>
        <v>72.847999999999999</v>
      </c>
      <c r="AW259" s="948">
        <f t="shared" si="536"/>
        <v>72.847999999999999</v>
      </c>
      <c r="AX259" s="948">
        <f t="shared" si="537"/>
        <v>86.850000000000009</v>
      </c>
      <c r="AY259" s="948">
        <f t="shared" si="538"/>
        <v>57.900000000000006</v>
      </c>
      <c r="AZ259" s="948">
        <f t="shared" si="539"/>
        <v>471.6269999999999</v>
      </c>
      <c r="BA259" s="948">
        <f t="shared" si="540"/>
        <v>0</v>
      </c>
      <c r="BB259" s="948">
        <f t="shared" si="541"/>
        <v>0</v>
      </c>
      <c r="BC259" s="957">
        <f t="shared" si="542"/>
        <v>1.5786666666666667</v>
      </c>
      <c r="BD259" s="957">
        <f t="shared" si="542"/>
        <v>1.5786666666666667</v>
      </c>
      <c r="BE259" s="957">
        <f t="shared" si="542"/>
        <v>1.5786666666666667</v>
      </c>
      <c r="BF259" s="957">
        <f t="shared" si="542"/>
        <v>1.5786666666666667</v>
      </c>
      <c r="BG259" s="957">
        <f t="shared" si="542"/>
        <v>1.5786666666666667</v>
      </c>
      <c r="BH259" s="957">
        <f t="shared" si="542"/>
        <v>1.5786666666666667</v>
      </c>
      <c r="BI259" s="957">
        <f t="shared" si="542"/>
        <v>0.39466666666666667</v>
      </c>
      <c r="BJ259" s="957">
        <f t="shared" si="542"/>
        <v>0</v>
      </c>
      <c r="BK259" s="957">
        <f t="shared" si="542"/>
        <v>0</v>
      </c>
      <c r="BL259" s="948">
        <f t="shared" si="543"/>
        <v>137.10720000000001</v>
      </c>
      <c r="BM259" s="948">
        <f t="shared" si="543"/>
        <v>91.404800000000009</v>
      </c>
      <c r="BN259" s="948">
        <f t="shared" si="543"/>
        <v>115.00270933333333</v>
      </c>
      <c r="BO259" s="948">
        <f t="shared" si="543"/>
        <v>115.00270933333333</v>
      </c>
      <c r="BP259" s="948">
        <f t="shared" si="543"/>
        <v>137.10720000000001</v>
      </c>
      <c r="BQ259" s="948">
        <f t="shared" si="543"/>
        <v>91.404800000000009</v>
      </c>
      <c r="BR259" s="948">
        <f t="shared" si="543"/>
        <v>186.13545599999995</v>
      </c>
      <c r="BS259" s="948">
        <f t="shared" si="544"/>
        <v>0</v>
      </c>
      <c r="BT259" s="955">
        <f t="shared" si="545"/>
        <v>205.54728688010044</v>
      </c>
    </row>
    <row r="260" spans="1:72">
      <c r="A260" s="952">
        <v>7</v>
      </c>
      <c r="B260" s="952" t="s">
        <v>1177</v>
      </c>
      <c r="C260" s="950" t="s">
        <v>1178</v>
      </c>
      <c r="D260" s="950">
        <v>1</v>
      </c>
      <c r="E260" s="950">
        <v>1</v>
      </c>
      <c r="F260" s="948">
        <v>12</v>
      </c>
      <c r="G260" s="948">
        <v>0.25</v>
      </c>
      <c r="H260" s="948">
        <v>0.6</v>
      </c>
      <c r="I260" s="948">
        <v>0.12</v>
      </c>
      <c r="J260" s="948">
        <v>0.48</v>
      </c>
      <c r="K260" s="948">
        <v>0.64800000000000002</v>
      </c>
      <c r="L260" s="948">
        <v>5.1840000000000002</v>
      </c>
      <c r="M260" s="952"/>
      <c r="N260" s="950">
        <v>16</v>
      </c>
      <c r="O260" s="950">
        <v>16</v>
      </c>
      <c r="P260" s="950">
        <v>16</v>
      </c>
      <c r="Q260" s="950">
        <v>16</v>
      </c>
      <c r="R260" s="950">
        <v>16</v>
      </c>
      <c r="S260" s="950">
        <v>16</v>
      </c>
      <c r="T260" s="950">
        <v>8</v>
      </c>
      <c r="U260" s="950"/>
      <c r="V260" s="950"/>
      <c r="W260" s="950">
        <v>200</v>
      </c>
      <c r="X260" s="950">
        <v>100</v>
      </c>
      <c r="Y260" s="950">
        <v>100</v>
      </c>
      <c r="Z260" s="950">
        <v>9</v>
      </c>
      <c r="AA260" s="950">
        <v>6</v>
      </c>
      <c r="AB260" s="950">
        <v>4</v>
      </c>
      <c r="AC260" s="950">
        <v>4</v>
      </c>
      <c r="AD260" s="950">
        <v>9</v>
      </c>
      <c r="AE260" s="950">
        <v>6</v>
      </c>
      <c r="AF260" s="955">
        <v>7.75</v>
      </c>
      <c r="AG260" s="955">
        <v>28</v>
      </c>
      <c r="AH260" s="955">
        <v>14.5</v>
      </c>
      <c r="AI260" s="955">
        <v>0</v>
      </c>
      <c r="AJ260" s="955">
        <v>0</v>
      </c>
      <c r="AK260" s="948">
        <v>2.1500000000000004</v>
      </c>
      <c r="AL260" s="948">
        <v>2.1500000000000004</v>
      </c>
      <c r="AM260" s="948">
        <v>3.2120000000000002</v>
      </c>
      <c r="AN260" s="948">
        <v>3.2120000000000002</v>
      </c>
      <c r="AO260" s="948">
        <v>2.1500000000000004</v>
      </c>
      <c r="AP260" s="948">
        <v>2.1500000000000004</v>
      </c>
      <c r="AQ260" s="948">
        <v>1.508</v>
      </c>
      <c r="AR260" s="948">
        <v>0</v>
      </c>
      <c r="AS260" s="948">
        <v>0</v>
      </c>
      <c r="AT260" s="948">
        <v>19.350000000000001</v>
      </c>
      <c r="AU260" s="948">
        <v>12.900000000000002</v>
      </c>
      <c r="AV260" s="948">
        <v>12.848000000000001</v>
      </c>
      <c r="AW260" s="948">
        <v>12.848000000000001</v>
      </c>
      <c r="AX260" s="948">
        <v>19.350000000000001</v>
      </c>
      <c r="AY260" s="948">
        <v>12.900000000000002</v>
      </c>
      <c r="AZ260" s="948">
        <v>75.777000000000001</v>
      </c>
      <c r="BA260" s="948">
        <v>0</v>
      </c>
      <c r="BB260" s="948">
        <v>0</v>
      </c>
      <c r="BC260" s="957">
        <v>1.5786666666666667</v>
      </c>
      <c r="BD260" s="957">
        <v>1.5786666666666667</v>
      </c>
      <c r="BE260" s="957">
        <v>1.5786666666666667</v>
      </c>
      <c r="BF260" s="957">
        <v>1.5786666666666667</v>
      </c>
      <c r="BG260" s="957">
        <v>1.5786666666666667</v>
      </c>
      <c r="BH260" s="957">
        <v>1.5786666666666667</v>
      </c>
      <c r="BI260" s="957">
        <v>0.39466666666666667</v>
      </c>
      <c r="BJ260" s="957">
        <v>0</v>
      </c>
      <c r="BK260" s="957">
        <v>0</v>
      </c>
      <c r="BL260" s="948">
        <v>30.547200000000004</v>
      </c>
      <c r="BM260" s="948">
        <v>20.364800000000002</v>
      </c>
      <c r="BN260" s="948">
        <v>20.282709333333333</v>
      </c>
      <c r="BO260" s="948">
        <v>20.282709333333333</v>
      </c>
      <c r="BP260" s="948">
        <v>30.547200000000004</v>
      </c>
      <c r="BQ260" s="948">
        <v>20.364800000000002</v>
      </c>
      <c r="BR260" s="948">
        <v>29.906656000000002</v>
      </c>
      <c r="BS260" s="948">
        <v>0</v>
      </c>
      <c r="BT260" s="955">
        <v>265.88900411522633</v>
      </c>
    </row>
    <row r="261" spans="1:72">
      <c r="A261" s="952">
        <v>8</v>
      </c>
      <c r="B261" s="952" t="s">
        <v>1179</v>
      </c>
      <c r="C261" s="950" t="s">
        <v>1125</v>
      </c>
      <c r="D261" s="950">
        <v>1</v>
      </c>
      <c r="E261" s="950">
        <v>1</v>
      </c>
      <c r="F261" s="948">
        <v>8</v>
      </c>
      <c r="G261" s="948">
        <v>0.25</v>
      </c>
      <c r="H261" s="948">
        <v>0.6</v>
      </c>
      <c r="I261" s="948">
        <v>0.12</v>
      </c>
      <c r="J261" s="948">
        <f t="shared" ref="J261:J262" si="548">H261-I261</f>
        <v>0.48</v>
      </c>
      <c r="K261" s="948">
        <f t="shared" ref="K261:K262" si="549">F261*G261*J261*D261*E261</f>
        <v>0.96</v>
      </c>
      <c r="L261" s="948">
        <f t="shared" ref="L261:L262" si="550">(2*J261)*F261*E261*D261</f>
        <v>7.68</v>
      </c>
      <c r="M261" s="952"/>
      <c r="N261" s="950">
        <v>16</v>
      </c>
      <c r="O261" s="950">
        <v>16</v>
      </c>
      <c r="P261" s="950">
        <v>16</v>
      </c>
      <c r="Q261" s="950">
        <v>16</v>
      </c>
      <c r="R261" s="950">
        <v>16</v>
      </c>
      <c r="S261" s="950">
        <v>16</v>
      </c>
      <c r="T261" s="950">
        <v>8</v>
      </c>
      <c r="U261" s="950"/>
      <c r="V261" s="950"/>
      <c r="W261" s="950">
        <v>200</v>
      </c>
      <c r="X261" s="950">
        <v>100</v>
      </c>
      <c r="Y261" s="950">
        <v>100</v>
      </c>
      <c r="Z261" s="950">
        <v>9</v>
      </c>
      <c r="AA261" s="950">
        <v>6</v>
      </c>
      <c r="AB261" s="950">
        <v>4</v>
      </c>
      <c r="AC261" s="950">
        <v>4</v>
      </c>
      <c r="AD261" s="950">
        <v>9</v>
      </c>
      <c r="AE261" s="950">
        <v>6</v>
      </c>
      <c r="AF261" s="955">
        <f t="shared" ref="AF261:AF262" si="551">(F261/4)/(W261/1000)+1</f>
        <v>11</v>
      </c>
      <c r="AG261" s="955">
        <f t="shared" ref="AG261:AG262" si="552">(F261/2)/(X261/1000)+1</f>
        <v>41</v>
      </c>
      <c r="AH261" s="955">
        <f t="shared" ref="AH261:AH262" si="553">(F261/4)/(Y261/1000)+1</f>
        <v>21</v>
      </c>
      <c r="AI261" s="955">
        <v>0</v>
      </c>
      <c r="AJ261" s="955">
        <v>0</v>
      </c>
      <c r="AK261" s="948">
        <f t="shared" ref="AK261:AK262" si="554">(F261/4)+(20*N261/1000)+(10*N261/1000)+(8*N261/1000)+(6*2*N261/1000)</f>
        <v>2.8000000000000003</v>
      </c>
      <c r="AL261" s="948">
        <f t="shared" ref="AL261:AL262" si="555">(F261/4)+(20*O261/1000)+(10*O261/1000)+(8*O261/1000)+(6*2*O261/1000)</f>
        <v>2.8000000000000003</v>
      </c>
      <c r="AM261" s="948">
        <f t="shared" ref="AM261:AM262" si="556">(F261/2)+(20*P261/1000)+(6*2*P261/1000)</f>
        <v>4.5120000000000005</v>
      </c>
      <c r="AN261" s="948">
        <f t="shared" ref="AN261:AN262" si="557">(F261/2)+(20*Q261/1000)+(6*2*Q261/1000)</f>
        <v>4.5120000000000005</v>
      </c>
      <c r="AO261" s="948">
        <f t="shared" ref="AO261:AO262" si="558">(F261/4)+(20*R261/1000)+(10*R261/1000)+(8*R261/1000)+(6*2*R261/1000)</f>
        <v>2.8000000000000003</v>
      </c>
      <c r="AP261" s="948">
        <f t="shared" ref="AP261:AP262" si="559">(F261/4)+(20*S261/1000)+(10*S261/1000)+(8*S261/1000)+(6*2*S261/1000)</f>
        <v>2.8000000000000003</v>
      </c>
      <c r="AQ261" s="948">
        <f t="shared" ref="AQ261:AQ262" si="560">(2*G261)+(2*H261)+(6*T261/1000)-(8*0.03)</f>
        <v>1.508</v>
      </c>
      <c r="AR261" s="948">
        <f t="shared" ref="AR261:AR262" si="561">((H261)+(2*6*U261/1000)-(2*0.03))*AI261</f>
        <v>0</v>
      </c>
      <c r="AS261" s="948">
        <f t="shared" ref="AS261:AS262" si="562">((G261)+(2*6*V261/1000)-(2*0.03))*AJ261</f>
        <v>0</v>
      </c>
      <c r="AT261" s="948">
        <f t="shared" ref="AT261:AT262" si="563">AK261*Z261*E261*D261</f>
        <v>25.200000000000003</v>
      </c>
      <c r="AU261" s="948">
        <f t="shared" ref="AU261:AU262" si="564">AL261*AA261*E261*D261</f>
        <v>16.8</v>
      </c>
      <c r="AV261" s="948">
        <f t="shared" ref="AV261:AV262" si="565">AM261*AB261*E261*D261</f>
        <v>18.048000000000002</v>
      </c>
      <c r="AW261" s="948">
        <f t="shared" ref="AW261:AW262" si="566">AN261*AC261*E261*D261</f>
        <v>18.048000000000002</v>
      </c>
      <c r="AX261" s="948">
        <f t="shared" ref="AX261:AX262" si="567">AO261*AD261*E261*D261</f>
        <v>25.200000000000003</v>
      </c>
      <c r="AY261" s="948">
        <f t="shared" ref="AY261:AY262" si="568">AP261*AE261*E261*D261</f>
        <v>16.8</v>
      </c>
      <c r="AZ261" s="948">
        <f t="shared" ref="AZ261:AZ262" si="569">AQ261*(AF261+AG261+AH261)*E261*D261</f>
        <v>110.084</v>
      </c>
      <c r="BA261" s="948">
        <f t="shared" ref="BA261:BA262" si="570">AR261*(AF261+AG261+AH261)*E261*D261</f>
        <v>0</v>
      </c>
      <c r="BB261" s="948">
        <f t="shared" ref="BB261:BB262" si="571">AS261*(AF261+AG261+AH261)*E261*D261</f>
        <v>0</v>
      </c>
      <c r="BC261" s="957">
        <f t="shared" ref="BC261:BK262" si="572">N261*N261*0.074/12</f>
        <v>1.5786666666666667</v>
      </c>
      <c r="BD261" s="957">
        <f t="shared" si="572"/>
        <v>1.5786666666666667</v>
      </c>
      <c r="BE261" s="957">
        <f t="shared" si="572"/>
        <v>1.5786666666666667</v>
      </c>
      <c r="BF261" s="957">
        <f t="shared" si="572"/>
        <v>1.5786666666666667</v>
      </c>
      <c r="BG261" s="957">
        <f t="shared" si="572"/>
        <v>1.5786666666666667</v>
      </c>
      <c r="BH261" s="957">
        <f t="shared" si="572"/>
        <v>1.5786666666666667</v>
      </c>
      <c r="BI261" s="957">
        <f t="shared" si="572"/>
        <v>0.39466666666666667</v>
      </c>
      <c r="BJ261" s="957">
        <f t="shared" si="572"/>
        <v>0</v>
      </c>
      <c r="BK261" s="957">
        <f t="shared" si="572"/>
        <v>0</v>
      </c>
      <c r="BL261" s="948">
        <f t="shared" ref="BL261:BR262" si="573">AT261*BC261</f>
        <v>39.782400000000003</v>
      </c>
      <c r="BM261" s="948">
        <f t="shared" si="573"/>
        <v>26.521599999999999</v>
      </c>
      <c r="BN261" s="948">
        <f t="shared" si="573"/>
        <v>28.491776000000002</v>
      </c>
      <c r="BO261" s="948">
        <f t="shared" si="573"/>
        <v>28.491776000000002</v>
      </c>
      <c r="BP261" s="948">
        <f t="shared" si="573"/>
        <v>39.782400000000003</v>
      </c>
      <c r="BQ261" s="948">
        <f t="shared" si="573"/>
        <v>26.521599999999999</v>
      </c>
      <c r="BR261" s="948">
        <f t="shared" si="573"/>
        <v>43.446485333333335</v>
      </c>
      <c r="BS261" s="948">
        <f>BB261*BK261</f>
        <v>0</v>
      </c>
      <c r="BT261" s="955">
        <f>SUM(BL261:BS261)/K261</f>
        <v>242.74795555555556</v>
      </c>
    </row>
    <row r="262" spans="1:72">
      <c r="A262" s="952">
        <v>9</v>
      </c>
      <c r="B262" s="952" t="s">
        <v>1180</v>
      </c>
      <c r="C262" s="950" t="s">
        <v>1127</v>
      </c>
      <c r="D262" s="950">
        <v>1</v>
      </c>
      <c r="E262" s="950">
        <v>1</v>
      </c>
      <c r="F262" s="948">
        <v>8.4</v>
      </c>
      <c r="G262" s="948">
        <v>0.25</v>
      </c>
      <c r="H262" s="948">
        <v>0.6</v>
      </c>
      <c r="I262" s="948">
        <v>0.12</v>
      </c>
      <c r="J262" s="948">
        <f t="shared" si="548"/>
        <v>0.48</v>
      </c>
      <c r="K262" s="948">
        <f t="shared" si="549"/>
        <v>1.008</v>
      </c>
      <c r="L262" s="948">
        <f t="shared" si="550"/>
        <v>8.0640000000000001</v>
      </c>
      <c r="M262" s="952"/>
      <c r="N262" s="950">
        <v>16</v>
      </c>
      <c r="O262" s="950">
        <v>16</v>
      </c>
      <c r="P262" s="950">
        <v>16</v>
      </c>
      <c r="Q262" s="950">
        <v>16</v>
      </c>
      <c r="R262" s="950">
        <v>16</v>
      </c>
      <c r="S262" s="950">
        <v>16</v>
      </c>
      <c r="T262" s="950">
        <v>8</v>
      </c>
      <c r="U262" s="950"/>
      <c r="V262" s="950"/>
      <c r="W262" s="950">
        <v>200</v>
      </c>
      <c r="X262" s="950">
        <v>100</v>
      </c>
      <c r="Y262" s="950">
        <v>100</v>
      </c>
      <c r="Z262" s="950">
        <v>9</v>
      </c>
      <c r="AA262" s="950">
        <v>6</v>
      </c>
      <c r="AB262" s="950">
        <v>4</v>
      </c>
      <c r="AC262" s="950">
        <v>4</v>
      </c>
      <c r="AD262" s="950">
        <v>9</v>
      </c>
      <c r="AE262" s="950">
        <v>6</v>
      </c>
      <c r="AF262" s="955">
        <f t="shared" si="551"/>
        <v>11.5</v>
      </c>
      <c r="AG262" s="955">
        <f t="shared" si="552"/>
        <v>43</v>
      </c>
      <c r="AH262" s="955">
        <f t="shared" si="553"/>
        <v>22</v>
      </c>
      <c r="AI262" s="955">
        <v>0</v>
      </c>
      <c r="AJ262" s="955">
        <v>0</v>
      </c>
      <c r="AK262" s="948">
        <f t="shared" si="554"/>
        <v>2.9000000000000004</v>
      </c>
      <c r="AL262" s="948">
        <f t="shared" si="555"/>
        <v>2.9000000000000004</v>
      </c>
      <c r="AM262" s="948">
        <f t="shared" si="556"/>
        <v>4.7120000000000006</v>
      </c>
      <c r="AN262" s="948">
        <f t="shared" si="557"/>
        <v>4.7120000000000006</v>
      </c>
      <c r="AO262" s="948">
        <f t="shared" si="558"/>
        <v>2.9000000000000004</v>
      </c>
      <c r="AP262" s="948">
        <f t="shared" si="559"/>
        <v>2.9000000000000004</v>
      </c>
      <c r="AQ262" s="948">
        <f t="shared" si="560"/>
        <v>1.508</v>
      </c>
      <c r="AR262" s="948">
        <f t="shared" si="561"/>
        <v>0</v>
      </c>
      <c r="AS262" s="948">
        <f t="shared" si="562"/>
        <v>0</v>
      </c>
      <c r="AT262" s="948">
        <f t="shared" si="563"/>
        <v>26.1</v>
      </c>
      <c r="AU262" s="948">
        <f t="shared" si="564"/>
        <v>17.400000000000002</v>
      </c>
      <c r="AV262" s="948">
        <f t="shared" si="565"/>
        <v>18.848000000000003</v>
      </c>
      <c r="AW262" s="948">
        <f t="shared" si="566"/>
        <v>18.848000000000003</v>
      </c>
      <c r="AX262" s="948">
        <f t="shared" si="567"/>
        <v>26.1</v>
      </c>
      <c r="AY262" s="948">
        <f t="shared" si="568"/>
        <v>17.400000000000002</v>
      </c>
      <c r="AZ262" s="948">
        <f t="shared" si="569"/>
        <v>115.36199999999999</v>
      </c>
      <c r="BA262" s="948">
        <f t="shared" si="570"/>
        <v>0</v>
      </c>
      <c r="BB262" s="948">
        <f t="shared" si="571"/>
        <v>0</v>
      </c>
      <c r="BC262" s="957">
        <f t="shared" si="572"/>
        <v>1.5786666666666667</v>
      </c>
      <c r="BD262" s="957">
        <f t="shared" si="572"/>
        <v>1.5786666666666667</v>
      </c>
      <c r="BE262" s="957">
        <f t="shared" si="572"/>
        <v>1.5786666666666667</v>
      </c>
      <c r="BF262" s="957">
        <f t="shared" si="572"/>
        <v>1.5786666666666667</v>
      </c>
      <c r="BG262" s="957">
        <f t="shared" si="572"/>
        <v>1.5786666666666667</v>
      </c>
      <c r="BH262" s="957">
        <f t="shared" si="572"/>
        <v>1.5786666666666667</v>
      </c>
      <c r="BI262" s="957">
        <f t="shared" si="572"/>
        <v>0.39466666666666667</v>
      </c>
      <c r="BJ262" s="957">
        <f t="shared" si="572"/>
        <v>0</v>
      </c>
      <c r="BK262" s="957">
        <f t="shared" si="572"/>
        <v>0</v>
      </c>
      <c r="BL262" s="948">
        <f t="shared" si="573"/>
        <v>41.203200000000002</v>
      </c>
      <c r="BM262" s="948">
        <f t="shared" si="573"/>
        <v>27.468800000000002</v>
      </c>
      <c r="BN262" s="948">
        <f t="shared" si="573"/>
        <v>29.754709333333338</v>
      </c>
      <c r="BO262" s="948">
        <f t="shared" si="573"/>
        <v>29.754709333333338</v>
      </c>
      <c r="BP262" s="948">
        <f t="shared" si="573"/>
        <v>41.203200000000002</v>
      </c>
      <c r="BQ262" s="948">
        <f t="shared" si="573"/>
        <v>27.468800000000002</v>
      </c>
      <c r="BR262" s="948">
        <f t="shared" si="573"/>
        <v>45.529536</v>
      </c>
      <c r="BS262" s="948">
        <f>BB262*BK262</f>
        <v>0</v>
      </c>
      <c r="BT262" s="955">
        <f>SUM(BL262:BS262)/K262</f>
        <v>240.45928042328046</v>
      </c>
    </row>
    <row r="263" spans="1:72">
      <c r="A263" s="952"/>
      <c r="B263" s="952"/>
      <c r="C263" s="950"/>
      <c r="D263" s="950"/>
      <c r="E263" s="950"/>
      <c r="F263" s="948"/>
      <c r="G263" s="948"/>
      <c r="H263" s="948"/>
      <c r="I263" s="948"/>
      <c r="J263" s="948"/>
      <c r="K263" s="948">
        <f>SUM(K247:K262)</f>
        <v>62.31600000000001</v>
      </c>
      <c r="L263" s="948">
        <f>SUM(L247:L262)</f>
        <v>464.69600000000008</v>
      </c>
      <c r="M263" s="952"/>
      <c r="N263" s="950"/>
      <c r="O263" s="950"/>
      <c r="P263" s="950"/>
      <c r="Q263" s="950"/>
      <c r="R263" s="950"/>
      <c r="S263" s="950"/>
      <c r="T263" s="950"/>
      <c r="U263" s="950"/>
      <c r="V263" s="950"/>
      <c r="W263" s="950"/>
      <c r="X263" s="950"/>
      <c r="Y263" s="950"/>
      <c r="Z263" s="950"/>
      <c r="AA263" s="950"/>
      <c r="AB263" s="950"/>
      <c r="AC263" s="950"/>
      <c r="AD263" s="950"/>
      <c r="AE263" s="950"/>
      <c r="AF263" s="955"/>
      <c r="AG263" s="955"/>
      <c r="AH263" s="955"/>
      <c r="AI263" s="955"/>
      <c r="AJ263" s="955"/>
      <c r="AK263" s="948"/>
      <c r="AL263" s="948"/>
      <c r="AM263" s="948"/>
      <c r="AN263" s="948"/>
      <c r="AO263" s="948"/>
      <c r="AP263" s="948"/>
      <c r="AQ263" s="948"/>
      <c r="AR263" s="948"/>
      <c r="AS263" s="948"/>
      <c r="AT263" s="948"/>
      <c r="AU263" s="948"/>
      <c r="AV263" s="948"/>
      <c r="AW263" s="948"/>
      <c r="AX263" s="948"/>
      <c r="AY263" s="948"/>
      <c r="AZ263" s="948"/>
      <c r="BA263" s="948"/>
      <c r="BB263" s="948"/>
      <c r="BC263" s="957"/>
      <c r="BD263" s="957"/>
      <c r="BE263" s="957"/>
      <c r="BF263" s="957"/>
      <c r="BG263" s="957"/>
      <c r="BH263" s="957"/>
      <c r="BI263" s="957"/>
      <c r="BJ263" s="957"/>
      <c r="BK263" s="957"/>
      <c r="BL263" s="948"/>
      <c r="BM263" s="948"/>
      <c r="BN263" s="948"/>
      <c r="BO263" s="948"/>
      <c r="BP263" s="948"/>
      <c r="BQ263" s="948"/>
      <c r="BR263" s="948"/>
      <c r="BS263" s="948"/>
      <c r="BT263" s="955"/>
    </row>
    <row r="264" spans="1:72">
      <c r="A264" s="949" t="s">
        <v>66</v>
      </c>
      <c r="B264" s="949" t="s">
        <v>1050</v>
      </c>
      <c r="C264" s="949" t="s">
        <v>983</v>
      </c>
      <c r="D264" s="950" t="s">
        <v>1051</v>
      </c>
      <c r="E264" s="950" t="s">
        <v>1052</v>
      </c>
      <c r="F264" s="951" t="s">
        <v>984</v>
      </c>
      <c r="G264" s="951"/>
      <c r="H264" s="951"/>
      <c r="I264" s="948" t="s">
        <v>985</v>
      </c>
      <c r="J264" s="948" t="s">
        <v>1053</v>
      </c>
      <c r="K264" s="948" t="s">
        <v>392</v>
      </c>
      <c r="L264" s="948" t="s">
        <v>377</v>
      </c>
      <c r="M264" s="952"/>
      <c r="N264" s="949" t="s">
        <v>1054</v>
      </c>
      <c r="O264" s="949"/>
      <c r="P264" s="949"/>
      <c r="Q264" s="949"/>
      <c r="R264" s="949"/>
      <c r="S264" s="949"/>
      <c r="T264" s="949" t="s">
        <v>1055</v>
      </c>
      <c r="U264" s="949"/>
      <c r="V264" s="949"/>
      <c r="W264" s="949" t="s">
        <v>989</v>
      </c>
      <c r="X264" s="949"/>
      <c r="Y264" s="949"/>
      <c r="Z264" s="949" t="s">
        <v>1056</v>
      </c>
      <c r="AA264" s="949"/>
      <c r="AB264" s="949"/>
      <c r="AC264" s="949"/>
      <c r="AD264" s="949"/>
      <c r="AE264" s="949"/>
      <c r="AF264" s="953" t="s">
        <v>1057</v>
      </c>
      <c r="AG264" s="953"/>
      <c r="AH264" s="953"/>
      <c r="AI264" s="953"/>
      <c r="AJ264" s="953"/>
      <c r="AK264" s="951" t="s">
        <v>1058</v>
      </c>
      <c r="AL264" s="951"/>
      <c r="AM264" s="951"/>
      <c r="AN264" s="951"/>
      <c r="AO264" s="951"/>
      <c r="AP264" s="951"/>
      <c r="AQ264" s="951" t="s">
        <v>1059</v>
      </c>
      <c r="AR264" s="951"/>
      <c r="AS264" s="951"/>
      <c r="AT264" s="951" t="s">
        <v>1060</v>
      </c>
      <c r="AU264" s="951"/>
      <c r="AV264" s="951"/>
      <c r="AW264" s="951"/>
      <c r="AX264" s="951"/>
      <c r="AY264" s="951"/>
      <c r="AZ264" s="951" t="s">
        <v>1061</v>
      </c>
      <c r="BA264" s="951"/>
      <c r="BB264" s="951"/>
      <c r="BC264" s="954" t="s">
        <v>1062</v>
      </c>
      <c r="BD264" s="954"/>
      <c r="BE264" s="954"/>
      <c r="BF264" s="954"/>
      <c r="BG264" s="954"/>
      <c r="BH264" s="954"/>
      <c r="BI264" s="954" t="s">
        <v>996</v>
      </c>
      <c r="BJ264" s="954"/>
      <c r="BK264" s="954"/>
      <c r="BL264" s="951" t="s">
        <v>997</v>
      </c>
      <c r="BM264" s="951"/>
      <c r="BN264" s="951"/>
      <c r="BO264" s="951"/>
      <c r="BP264" s="951"/>
      <c r="BQ264" s="951"/>
      <c r="BR264" s="951"/>
      <c r="BS264" s="951"/>
      <c r="BT264" s="955" t="s">
        <v>998</v>
      </c>
    </row>
    <row r="265" spans="1:72">
      <c r="A265" s="949"/>
      <c r="B265" s="949"/>
      <c r="C265" s="949"/>
      <c r="D265" s="949" t="s">
        <v>1063</v>
      </c>
      <c r="E265" s="949" t="s">
        <v>391</v>
      </c>
      <c r="F265" s="948" t="s">
        <v>999</v>
      </c>
      <c r="G265" s="948" t="s">
        <v>1000</v>
      </c>
      <c r="H265" s="948" t="s">
        <v>1001</v>
      </c>
      <c r="I265" s="948" t="s">
        <v>1002</v>
      </c>
      <c r="J265" s="948" t="s">
        <v>1003</v>
      </c>
      <c r="K265" s="951" t="s">
        <v>1064</v>
      </c>
      <c r="L265" s="948"/>
      <c r="M265" s="952"/>
      <c r="N265" s="949" t="s">
        <v>1001</v>
      </c>
      <c r="O265" s="949"/>
      <c r="P265" s="949" t="s">
        <v>1000</v>
      </c>
      <c r="Q265" s="949"/>
      <c r="R265" s="949" t="s">
        <v>1001</v>
      </c>
      <c r="S265" s="949"/>
      <c r="T265" s="950" t="s">
        <v>1007</v>
      </c>
      <c r="U265" s="949" t="s">
        <v>1005</v>
      </c>
      <c r="V265" s="949"/>
      <c r="W265" s="949"/>
      <c r="X265" s="949" t="s">
        <v>1000</v>
      </c>
      <c r="Y265" s="949" t="s">
        <v>1001</v>
      </c>
      <c r="Z265" s="949" t="s">
        <v>1001</v>
      </c>
      <c r="AA265" s="949"/>
      <c r="AB265" s="949" t="s">
        <v>1000</v>
      </c>
      <c r="AC265" s="949"/>
      <c r="AD265" s="949" t="s">
        <v>1001</v>
      </c>
      <c r="AE265" s="949"/>
      <c r="AF265" s="953" t="s">
        <v>1004</v>
      </c>
      <c r="AG265" s="953"/>
      <c r="AH265" s="953"/>
      <c r="AI265" s="953" t="s">
        <v>1065</v>
      </c>
      <c r="AJ265" s="953"/>
      <c r="AK265" s="951" t="s">
        <v>1001</v>
      </c>
      <c r="AL265" s="951"/>
      <c r="AM265" s="951" t="s">
        <v>1000</v>
      </c>
      <c r="AN265" s="951"/>
      <c r="AO265" s="951" t="s">
        <v>1001</v>
      </c>
      <c r="AP265" s="951"/>
      <c r="AQ265" s="951" t="s">
        <v>1004</v>
      </c>
      <c r="AR265" s="951" t="s">
        <v>1005</v>
      </c>
      <c r="AS265" s="951"/>
      <c r="AT265" s="951" t="s">
        <v>1066</v>
      </c>
      <c r="AU265" s="951"/>
      <c r="AV265" s="951" t="s">
        <v>1000</v>
      </c>
      <c r="AW265" s="951"/>
      <c r="AX265" s="951" t="s">
        <v>1001</v>
      </c>
      <c r="AY265" s="951"/>
      <c r="AZ265" s="951" t="s">
        <v>1004</v>
      </c>
      <c r="BA265" s="951" t="s">
        <v>1005</v>
      </c>
      <c r="BB265" s="951"/>
      <c r="BC265" s="953" t="s">
        <v>1001</v>
      </c>
      <c r="BD265" s="953"/>
      <c r="BE265" s="953" t="s">
        <v>1000</v>
      </c>
      <c r="BF265" s="953"/>
      <c r="BG265" s="951" t="s">
        <v>1001</v>
      </c>
      <c r="BH265" s="951"/>
      <c r="BI265" s="956" t="s">
        <v>1004</v>
      </c>
      <c r="BJ265" s="954" t="s">
        <v>1005</v>
      </c>
      <c r="BK265" s="954"/>
      <c r="BL265" s="951" t="s">
        <v>1006</v>
      </c>
      <c r="BM265" s="951"/>
      <c r="BN265" s="951"/>
      <c r="BO265" s="951"/>
      <c r="BP265" s="951"/>
      <c r="BQ265" s="951"/>
      <c r="BR265" s="951" t="s">
        <v>1067</v>
      </c>
      <c r="BS265" s="951"/>
      <c r="BT265" s="953" t="s">
        <v>1068</v>
      </c>
    </row>
    <row r="266" spans="1:72">
      <c r="A266" s="949"/>
      <c r="B266" s="949"/>
      <c r="C266" s="949" t="s">
        <v>391</v>
      </c>
      <c r="D266" s="949"/>
      <c r="E266" s="949"/>
      <c r="F266" s="948" t="s">
        <v>1069</v>
      </c>
      <c r="G266" s="948" t="s">
        <v>1069</v>
      </c>
      <c r="H266" s="948" t="s">
        <v>1069</v>
      </c>
      <c r="I266" s="948" t="s">
        <v>1069</v>
      </c>
      <c r="J266" s="948" t="s">
        <v>1069</v>
      </c>
      <c r="K266" s="951"/>
      <c r="L266" s="948" t="s">
        <v>1070</v>
      </c>
      <c r="M266" s="952"/>
      <c r="N266" s="949"/>
      <c r="O266" s="949"/>
      <c r="P266" s="949"/>
      <c r="Q266" s="949"/>
      <c r="R266" s="949"/>
      <c r="S266" s="949"/>
      <c r="T266" s="950" t="s">
        <v>1071</v>
      </c>
      <c r="U266" s="950" t="s">
        <v>1012</v>
      </c>
      <c r="V266" s="950" t="s">
        <v>494</v>
      </c>
      <c r="W266" s="949"/>
      <c r="X266" s="949"/>
      <c r="Y266" s="949"/>
      <c r="Z266" s="949"/>
      <c r="AA266" s="949"/>
      <c r="AB266" s="949"/>
      <c r="AC266" s="949"/>
      <c r="AD266" s="949"/>
      <c r="AE266" s="949"/>
      <c r="AF266" s="955" t="s">
        <v>1001</v>
      </c>
      <c r="AG266" s="955" t="s">
        <v>1000</v>
      </c>
      <c r="AH266" s="955" t="s">
        <v>1001</v>
      </c>
      <c r="AI266" s="955" t="s">
        <v>1012</v>
      </c>
      <c r="AJ266" s="955" t="s">
        <v>494</v>
      </c>
      <c r="AK266" s="951"/>
      <c r="AL266" s="951"/>
      <c r="AM266" s="951"/>
      <c r="AN266" s="951"/>
      <c r="AO266" s="951"/>
      <c r="AP266" s="951"/>
      <c r="AQ266" s="951"/>
      <c r="AR266" s="948" t="s">
        <v>1012</v>
      </c>
      <c r="AS266" s="948" t="s">
        <v>494</v>
      </c>
      <c r="AT266" s="951"/>
      <c r="AU266" s="951"/>
      <c r="AV266" s="951"/>
      <c r="AW266" s="951"/>
      <c r="AX266" s="951"/>
      <c r="AY266" s="951"/>
      <c r="AZ266" s="951"/>
      <c r="BA266" s="948" t="s">
        <v>1012</v>
      </c>
      <c r="BB266" s="948" t="s">
        <v>494</v>
      </c>
      <c r="BC266" s="953"/>
      <c r="BD266" s="953"/>
      <c r="BE266" s="953"/>
      <c r="BF266" s="953"/>
      <c r="BG266" s="951"/>
      <c r="BH266" s="951"/>
      <c r="BI266" s="957"/>
      <c r="BJ266" s="957" t="s">
        <v>1012</v>
      </c>
      <c r="BK266" s="957" t="s">
        <v>494</v>
      </c>
      <c r="BL266" s="951" t="s">
        <v>1001</v>
      </c>
      <c r="BM266" s="951"/>
      <c r="BN266" s="951" t="s">
        <v>1000</v>
      </c>
      <c r="BO266" s="951"/>
      <c r="BP266" s="951" t="s">
        <v>1001</v>
      </c>
      <c r="BQ266" s="951"/>
      <c r="BR266" s="951" t="s">
        <v>1004</v>
      </c>
      <c r="BS266" s="948"/>
      <c r="BT266" s="953"/>
    </row>
    <row r="267" spans="1:72">
      <c r="A267" s="949"/>
      <c r="B267" s="949"/>
      <c r="C267" s="949"/>
      <c r="D267" s="950" t="s">
        <v>1072</v>
      </c>
      <c r="E267" s="950" t="s">
        <v>1073</v>
      </c>
      <c r="F267" s="948" t="s">
        <v>1074</v>
      </c>
      <c r="G267" s="948" t="s">
        <v>1075</v>
      </c>
      <c r="H267" s="948" t="s">
        <v>1076</v>
      </c>
      <c r="I267" s="948" t="s">
        <v>1077</v>
      </c>
      <c r="J267" s="948" t="s">
        <v>1078</v>
      </c>
      <c r="K267" s="948" t="s">
        <v>1079</v>
      </c>
      <c r="L267" s="948" t="s">
        <v>1080</v>
      </c>
      <c r="M267" s="952"/>
      <c r="N267" s="949" t="s">
        <v>1081</v>
      </c>
      <c r="O267" s="949"/>
      <c r="P267" s="949"/>
      <c r="Q267" s="949"/>
      <c r="R267" s="949"/>
      <c r="S267" s="949"/>
      <c r="T267" s="950" t="s">
        <v>1082</v>
      </c>
      <c r="U267" s="949" t="s">
        <v>1081</v>
      </c>
      <c r="V267" s="949"/>
      <c r="W267" s="949" t="s">
        <v>1081</v>
      </c>
      <c r="X267" s="949"/>
      <c r="Y267" s="949"/>
      <c r="Z267" s="949" t="s">
        <v>1082</v>
      </c>
      <c r="AA267" s="949"/>
      <c r="AB267" s="949"/>
      <c r="AC267" s="949"/>
      <c r="AD267" s="949"/>
      <c r="AE267" s="949"/>
      <c r="AF267" s="953" t="s">
        <v>1082</v>
      </c>
      <c r="AG267" s="953"/>
      <c r="AH267" s="953"/>
      <c r="AI267" s="953"/>
      <c r="AJ267" s="953"/>
      <c r="AK267" s="951" t="s">
        <v>1069</v>
      </c>
      <c r="AL267" s="951"/>
      <c r="AM267" s="951"/>
      <c r="AN267" s="951"/>
      <c r="AO267" s="951"/>
      <c r="AP267" s="951"/>
      <c r="AQ267" s="951"/>
      <c r="AR267" s="951"/>
      <c r="AS267" s="951"/>
      <c r="AT267" s="951"/>
      <c r="AU267" s="951"/>
      <c r="AV267" s="951"/>
      <c r="AW267" s="951"/>
      <c r="AX267" s="951"/>
      <c r="AY267" s="951"/>
      <c r="AZ267" s="951"/>
      <c r="BA267" s="951"/>
      <c r="BB267" s="951"/>
      <c r="BC267" s="954"/>
      <c r="BD267" s="954"/>
      <c r="BE267" s="954"/>
      <c r="BF267" s="954"/>
      <c r="BG267" s="954"/>
      <c r="BH267" s="954"/>
      <c r="BI267" s="954"/>
      <c r="BJ267" s="954"/>
      <c r="BK267" s="954"/>
      <c r="BL267" s="951"/>
      <c r="BM267" s="951"/>
      <c r="BN267" s="951"/>
      <c r="BO267" s="951"/>
      <c r="BP267" s="951"/>
      <c r="BQ267" s="951"/>
      <c r="BR267" s="951"/>
      <c r="BS267" s="948" t="s">
        <v>494</v>
      </c>
      <c r="BT267" s="953"/>
    </row>
    <row r="268" spans="1:72">
      <c r="A268" s="952"/>
      <c r="B268" s="952"/>
      <c r="C268" s="950"/>
      <c r="D268" s="950"/>
      <c r="E268" s="950"/>
      <c r="F268" s="948"/>
      <c r="G268" s="948"/>
      <c r="H268" s="948"/>
      <c r="I268" s="948"/>
      <c r="J268" s="948"/>
      <c r="K268" s="948"/>
      <c r="L268" s="948"/>
      <c r="M268" s="952"/>
      <c r="N268" s="950"/>
      <c r="O268" s="950"/>
      <c r="P268" s="950"/>
      <c r="Q268" s="950"/>
      <c r="R268" s="950"/>
      <c r="S268" s="950"/>
      <c r="T268" s="950"/>
      <c r="U268" s="950"/>
      <c r="V268" s="950"/>
      <c r="W268" s="950"/>
      <c r="X268" s="950"/>
      <c r="Y268" s="950"/>
      <c r="Z268" s="950"/>
      <c r="AA268" s="950"/>
      <c r="AB268" s="950"/>
      <c r="AC268" s="950"/>
      <c r="AD268" s="950"/>
      <c r="AE268" s="950"/>
      <c r="AF268" s="955"/>
      <c r="AG268" s="955"/>
      <c r="AH268" s="955"/>
      <c r="AI268" s="955"/>
      <c r="AJ268" s="955"/>
      <c r="AK268" s="948"/>
      <c r="AL268" s="948"/>
      <c r="AM268" s="948"/>
      <c r="AN268" s="948"/>
      <c r="AO268" s="948"/>
      <c r="AP268" s="948"/>
      <c r="AQ268" s="948"/>
      <c r="AR268" s="948"/>
      <c r="AS268" s="948"/>
      <c r="AT268" s="948"/>
      <c r="AU268" s="948"/>
      <c r="AV268" s="948"/>
      <c r="AW268" s="948"/>
      <c r="AX268" s="948"/>
      <c r="AY268" s="948"/>
      <c r="AZ268" s="948"/>
      <c r="BA268" s="948"/>
      <c r="BB268" s="948"/>
      <c r="BC268" s="957"/>
      <c r="BD268" s="957"/>
      <c r="BE268" s="957"/>
      <c r="BF268" s="957"/>
      <c r="BG268" s="957"/>
      <c r="BH268" s="957"/>
      <c r="BI268" s="957"/>
      <c r="BJ268" s="957"/>
      <c r="BK268" s="957"/>
      <c r="BL268" s="948"/>
      <c r="BM268" s="948"/>
      <c r="BN268" s="948"/>
      <c r="BO268" s="948"/>
      <c r="BP268" s="948"/>
      <c r="BQ268" s="948"/>
      <c r="BR268" s="948"/>
      <c r="BS268" s="948"/>
      <c r="BT268" s="955"/>
    </row>
    <row r="269" spans="1:72">
      <c r="A269" s="958" t="s">
        <v>1184</v>
      </c>
      <c r="B269" s="952"/>
      <c r="C269" s="950"/>
      <c r="D269" s="950"/>
      <c r="E269" s="950"/>
      <c r="F269" s="948"/>
      <c r="G269" s="948"/>
      <c r="H269" s="948"/>
      <c r="I269" s="948"/>
      <c r="J269" s="948"/>
      <c r="K269" s="948"/>
      <c r="L269" s="948"/>
      <c r="M269" s="952"/>
      <c r="N269" s="958" t="str">
        <f>A269</f>
        <v>Balok Lantai 8</v>
      </c>
      <c r="O269" s="950"/>
      <c r="P269" s="950"/>
      <c r="Q269" s="950"/>
      <c r="R269" s="950"/>
      <c r="S269" s="950"/>
      <c r="T269" s="950"/>
      <c r="U269" s="950"/>
      <c r="V269" s="950"/>
      <c r="W269" s="950"/>
      <c r="X269" s="950"/>
      <c r="Y269" s="950"/>
      <c r="Z269" s="950"/>
      <c r="AA269" s="950"/>
      <c r="AB269" s="950"/>
      <c r="AC269" s="950"/>
      <c r="AD269" s="950"/>
      <c r="AE269" s="950"/>
      <c r="AF269" s="955"/>
      <c r="AG269" s="955"/>
      <c r="AH269" s="955"/>
      <c r="AI269" s="955"/>
      <c r="AJ269" s="955"/>
      <c r="AK269" s="948"/>
      <c r="AL269" s="948"/>
      <c r="AM269" s="948"/>
      <c r="AN269" s="948"/>
      <c r="AO269" s="948"/>
      <c r="AP269" s="948"/>
      <c r="AQ269" s="948"/>
      <c r="AR269" s="948"/>
      <c r="AS269" s="948"/>
      <c r="AT269" s="948"/>
      <c r="AU269" s="948"/>
      <c r="AV269" s="948"/>
      <c r="AW269" s="948"/>
      <c r="AX269" s="948"/>
      <c r="AY269" s="948"/>
      <c r="AZ269" s="948"/>
      <c r="BA269" s="948"/>
      <c r="BB269" s="948"/>
      <c r="BC269" s="957"/>
      <c r="BD269" s="957"/>
      <c r="BE269" s="957"/>
      <c r="BF269" s="957"/>
      <c r="BG269" s="957"/>
      <c r="BH269" s="957"/>
      <c r="BI269" s="957"/>
      <c r="BJ269" s="957"/>
      <c r="BK269" s="957"/>
      <c r="BL269" s="948"/>
      <c r="BM269" s="948"/>
      <c r="BN269" s="948"/>
      <c r="BO269" s="948"/>
      <c r="BP269" s="948"/>
      <c r="BQ269" s="948"/>
      <c r="BR269" s="948"/>
      <c r="BS269" s="948"/>
      <c r="BT269" s="955"/>
    </row>
    <row r="270" spans="1:72">
      <c r="A270" s="960" t="s">
        <v>2</v>
      </c>
      <c r="B270" s="960" t="s">
        <v>1084</v>
      </c>
      <c r="C270" s="950"/>
      <c r="D270" s="950"/>
      <c r="E270" s="950"/>
      <c r="F270" s="948"/>
      <c r="G270" s="948"/>
      <c r="H270" s="948"/>
      <c r="I270" s="948"/>
      <c r="J270" s="948"/>
      <c r="K270" s="948"/>
      <c r="L270" s="948"/>
      <c r="M270" s="952"/>
      <c r="N270" s="959" t="str">
        <f>A270</f>
        <v>A</v>
      </c>
      <c r="O270" s="959" t="str">
        <f>B270</f>
        <v>Vertikal</v>
      </c>
      <c r="P270" s="950"/>
      <c r="Q270" s="950"/>
      <c r="R270" s="950"/>
      <c r="S270" s="950"/>
      <c r="T270" s="950"/>
      <c r="U270" s="950"/>
      <c r="V270" s="950"/>
      <c r="W270" s="950"/>
      <c r="X270" s="950"/>
      <c r="Y270" s="950"/>
      <c r="Z270" s="950"/>
      <c r="AA270" s="950"/>
      <c r="AB270" s="950"/>
      <c r="AC270" s="950"/>
      <c r="AD270" s="950"/>
      <c r="AE270" s="950"/>
      <c r="AF270" s="955"/>
      <c r="AG270" s="955"/>
      <c r="AH270" s="955"/>
      <c r="AI270" s="955"/>
      <c r="AJ270" s="955"/>
      <c r="AK270" s="948"/>
      <c r="AL270" s="948"/>
      <c r="AM270" s="948"/>
      <c r="AN270" s="948"/>
      <c r="AO270" s="948"/>
      <c r="AP270" s="948"/>
      <c r="AQ270" s="948"/>
      <c r="AR270" s="948"/>
      <c r="AS270" s="948"/>
      <c r="AT270" s="948"/>
      <c r="AU270" s="948"/>
      <c r="AV270" s="948"/>
      <c r="AW270" s="948"/>
      <c r="AX270" s="948"/>
      <c r="AY270" s="948"/>
      <c r="AZ270" s="948"/>
      <c r="BA270" s="948"/>
      <c r="BB270" s="948"/>
      <c r="BC270" s="957"/>
      <c r="BD270" s="957"/>
      <c r="BE270" s="957"/>
      <c r="BF270" s="957"/>
      <c r="BG270" s="957"/>
      <c r="BH270" s="957"/>
      <c r="BI270" s="957"/>
      <c r="BJ270" s="957"/>
      <c r="BK270" s="957"/>
      <c r="BL270" s="948"/>
      <c r="BM270" s="948"/>
      <c r="BN270" s="948"/>
      <c r="BO270" s="948"/>
      <c r="BP270" s="948"/>
      <c r="BQ270" s="948"/>
      <c r="BR270" s="948"/>
      <c r="BS270" s="948"/>
      <c r="BT270" s="955"/>
    </row>
    <row r="271" spans="1:72">
      <c r="A271" s="952">
        <v>1</v>
      </c>
      <c r="B271" s="952" t="s">
        <v>1161</v>
      </c>
      <c r="C271" s="950" t="s">
        <v>1185</v>
      </c>
      <c r="D271" s="950">
        <v>1</v>
      </c>
      <c r="E271" s="950">
        <v>1</v>
      </c>
      <c r="F271" s="948">
        <v>64</v>
      </c>
      <c r="G271" s="948">
        <v>0.3</v>
      </c>
      <c r="H271" s="948">
        <v>0.65</v>
      </c>
      <c r="I271" s="948">
        <v>0.12</v>
      </c>
      <c r="J271" s="948">
        <f t="shared" ref="J271" si="574">H271-I271</f>
        <v>0.53</v>
      </c>
      <c r="K271" s="948">
        <f>F271*G271*J271*D271*E271</f>
        <v>10.176</v>
      </c>
      <c r="L271" s="948">
        <f>(2*J271)*F271*E271*D271</f>
        <v>67.84</v>
      </c>
      <c r="M271" s="952"/>
      <c r="N271" s="950">
        <v>19</v>
      </c>
      <c r="O271" s="950">
        <v>19</v>
      </c>
      <c r="P271" s="950">
        <v>19</v>
      </c>
      <c r="Q271" s="950">
        <v>19</v>
      </c>
      <c r="R271" s="950">
        <v>19</v>
      </c>
      <c r="S271" s="950">
        <v>19</v>
      </c>
      <c r="T271" s="950">
        <v>8</v>
      </c>
      <c r="U271" s="950"/>
      <c r="V271" s="950"/>
      <c r="W271" s="950">
        <v>200</v>
      </c>
      <c r="X271" s="950">
        <v>100</v>
      </c>
      <c r="Y271" s="950">
        <v>100</v>
      </c>
      <c r="Z271" s="950">
        <v>4</v>
      </c>
      <c r="AA271" s="950">
        <v>4</v>
      </c>
      <c r="AB271" s="950">
        <v>2</v>
      </c>
      <c r="AC271" s="950">
        <v>2</v>
      </c>
      <c r="AD271" s="950">
        <v>4</v>
      </c>
      <c r="AE271" s="950">
        <v>4</v>
      </c>
      <c r="AF271" s="955">
        <f t="shared" ref="AF271:AF275" si="575">(F271/4)/(W271/1000)+1</f>
        <v>81</v>
      </c>
      <c r="AG271" s="955">
        <f t="shared" ref="AG271:AG275" si="576">(F271/2)/(X271/1000)+1</f>
        <v>321</v>
      </c>
      <c r="AH271" s="955">
        <f t="shared" ref="AH271:AH275" si="577">(F271/4)/(Y271/1000)+1</f>
        <v>161</v>
      </c>
      <c r="AI271" s="955">
        <v>0</v>
      </c>
      <c r="AJ271" s="955">
        <v>0</v>
      </c>
      <c r="AK271" s="948">
        <f t="shared" ref="AK271:AK275" si="578">(F271/4)+(20*N271/1000)+(10*N271/1000)+(8*N271/1000)+(6*2*N271/1000)</f>
        <v>16.950000000000003</v>
      </c>
      <c r="AL271" s="948">
        <f t="shared" ref="AL271:AL275" si="579">(F271/4)+(20*O271/1000)+(10*O271/1000)+(8*O271/1000)+(6*2*O271/1000)</f>
        <v>16.950000000000003</v>
      </c>
      <c r="AM271" s="948">
        <f t="shared" ref="AM271:AM275" si="580">(F271/2)+(20*P271/1000)+(6*2*P271/1000)</f>
        <v>32.608000000000004</v>
      </c>
      <c r="AN271" s="948">
        <f t="shared" ref="AN271:AN275" si="581">(F271/2)+(20*Q271/1000)+(6*2*Q271/1000)</f>
        <v>32.608000000000004</v>
      </c>
      <c r="AO271" s="948">
        <f t="shared" ref="AO271:AO275" si="582">(F271/4)+(20*R271/1000)+(10*R271/1000)+(8*R271/1000)+(6*2*R271/1000)</f>
        <v>16.950000000000003</v>
      </c>
      <c r="AP271" s="948">
        <f t="shared" ref="AP271:AP275" si="583">(F271/4)+(20*S271/1000)+(10*S271/1000)+(8*S271/1000)+(6*2*S271/1000)</f>
        <v>16.950000000000003</v>
      </c>
      <c r="AQ271" s="948">
        <f t="shared" ref="AQ271:AQ275" si="584">(2*G271)+(2*H271)+(6*T271/1000)-(8*0.03)</f>
        <v>1.708</v>
      </c>
      <c r="AR271" s="948">
        <f t="shared" ref="AR271:AR275" si="585">((H271)+(2*6*U271/1000)-(2*0.03))*AI271</f>
        <v>0</v>
      </c>
      <c r="AS271" s="948">
        <f t="shared" ref="AS271:AS275" si="586">((G271)+(2*6*V271/1000)-(2*0.03))*AJ271</f>
        <v>0</v>
      </c>
      <c r="AT271" s="948">
        <f t="shared" ref="AT271:AT275" si="587">AK271*Z271*E271*D271</f>
        <v>67.800000000000011</v>
      </c>
      <c r="AU271" s="948">
        <f t="shared" ref="AU271:AU275" si="588">AL271*AA271*E271*D271</f>
        <v>67.800000000000011</v>
      </c>
      <c r="AV271" s="948">
        <f t="shared" ref="AV271:AV275" si="589">AM271*AB271*E271*D271</f>
        <v>65.216000000000008</v>
      </c>
      <c r="AW271" s="948">
        <f t="shared" ref="AW271:AW275" si="590">AN271*AC271*E271*D271</f>
        <v>65.216000000000008</v>
      </c>
      <c r="AX271" s="948">
        <f t="shared" ref="AX271:AX275" si="591">AO271*AD271*E271*D271</f>
        <v>67.800000000000011</v>
      </c>
      <c r="AY271" s="948">
        <f t="shared" ref="AY271:AY275" si="592">AP271*AE271*E271*D271</f>
        <v>67.800000000000011</v>
      </c>
      <c r="AZ271" s="948">
        <f t="shared" ref="AZ271:AZ275" si="593">AQ271*(AF271+AG271+AH271)*E271*D271</f>
        <v>961.60399999999993</v>
      </c>
      <c r="BA271" s="948">
        <f t="shared" ref="BA271:BA275" si="594">AR271*(AF271+AG271+AH271)*E271*D271</f>
        <v>0</v>
      </c>
      <c r="BB271" s="948">
        <f t="shared" ref="BB271:BB275" si="595">AS271*(AF271+AG271+AH271)*E271*D271</f>
        <v>0</v>
      </c>
      <c r="BC271" s="957">
        <f t="shared" ref="BC271:BK275" si="596">N271*N271*0.074/12</f>
        <v>2.2261666666666664</v>
      </c>
      <c r="BD271" s="957">
        <f t="shared" si="596"/>
        <v>2.2261666666666664</v>
      </c>
      <c r="BE271" s="957">
        <f t="shared" si="596"/>
        <v>2.2261666666666664</v>
      </c>
      <c r="BF271" s="957">
        <f t="shared" si="596"/>
        <v>2.2261666666666664</v>
      </c>
      <c r="BG271" s="957">
        <f t="shared" si="596"/>
        <v>2.2261666666666664</v>
      </c>
      <c r="BH271" s="957">
        <f t="shared" si="596"/>
        <v>2.2261666666666664</v>
      </c>
      <c r="BI271" s="957">
        <f t="shared" si="596"/>
        <v>0.39466666666666667</v>
      </c>
      <c r="BJ271" s="957">
        <f t="shared" si="596"/>
        <v>0</v>
      </c>
      <c r="BK271" s="957">
        <f t="shared" si="596"/>
        <v>0</v>
      </c>
      <c r="BL271" s="948">
        <f t="shared" ref="BL271:BR275" si="597">AT271*BC271</f>
        <v>150.9341</v>
      </c>
      <c r="BM271" s="948">
        <f t="shared" si="597"/>
        <v>150.9341</v>
      </c>
      <c r="BN271" s="948">
        <f t="shared" si="597"/>
        <v>145.18168533333335</v>
      </c>
      <c r="BO271" s="948">
        <f t="shared" si="597"/>
        <v>145.18168533333335</v>
      </c>
      <c r="BP271" s="948">
        <f t="shared" si="597"/>
        <v>150.9341</v>
      </c>
      <c r="BQ271" s="948">
        <f t="shared" si="597"/>
        <v>150.9341</v>
      </c>
      <c r="BR271" s="948">
        <f t="shared" si="597"/>
        <v>379.51304533333331</v>
      </c>
      <c r="BS271" s="948">
        <f>BB271*BK271</f>
        <v>0</v>
      </c>
      <c r="BT271" s="955">
        <f>SUM(BL271:BS271)/K271</f>
        <v>125.15849213836478</v>
      </c>
    </row>
    <row r="272" spans="1:72">
      <c r="A272" s="952">
        <v>2</v>
      </c>
      <c r="B272" s="952" t="s">
        <v>1162</v>
      </c>
      <c r="C272" s="950" t="s">
        <v>1163</v>
      </c>
      <c r="D272" s="950">
        <v>1</v>
      </c>
      <c r="E272" s="950">
        <v>1</v>
      </c>
      <c r="F272" s="948">
        <v>64</v>
      </c>
      <c r="G272" s="948">
        <v>0.25</v>
      </c>
      <c r="H272" s="948">
        <v>0.6</v>
      </c>
      <c r="I272" s="948">
        <v>0.12</v>
      </c>
      <c r="J272" s="948">
        <f>H272-I272</f>
        <v>0.48</v>
      </c>
      <c r="K272" s="948">
        <f>F272*G272*J272*D272*E272</f>
        <v>7.68</v>
      </c>
      <c r="L272" s="948">
        <f>(2*J272)*F272*E272*D272</f>
        <v>61.44</v>
      </c>
      <c r="M272" s="952"/>
      <c r="N272" s="950">
        <v>16</v>
      </c>
      <c r="O272" s="950">
        <v>16</v>
      </c>
      <c r="P272" s="950">
        <v>16</v>
      </c>
      <c r="Q272" s="950">
        <v>16</v>
      </c>
      <c r="R272" s="950">
        <v>16</v>
      </c>
      <c r="S272" s="950">
        <v>16</v>
      </c>
      <c r="T272" s="950">
        <v>8</v>
      </c>
      <c r="U272" s="950"/>
      <c r="V272" s="950"/>
      <c r="W272" s="950">
        <v>200</v>
      </c>
      <c r="X272" s="950">
        <v>100</v>
      </c>
      <c r="Y272" s="950">
        <v>100</v>
      </c>
      <c r="Z272" s="950">
        <v>4</v>
      </c>
      <c r="AA272" s="950">
        <v>4</v>
      </c>
      <c r="AB272" s="950">
        <v>2</v>
      </c>
      <c r="AC272" s="950">
        <v>2</v>
      </c>
      <c r="AD272" s="950">
        <v>4</v>
      </c>
      <c r="AE272" s="950">
        <v>4</v>
      </c>
      <c r="AF272" s="955">
        <f t="shared" si="575"/>
        <v>81</v>
      </c>
      <c r="AG272" s="955">
        <f t="shared" si="576"/>
        <v>321</v>
      </c>
      <c r="AH272" s="955">
        <f t="shared" si="577"/>
        <v>161</v>
      </c>
      <c r="AI272" s="955">
        <v>0</v>
      </c>
      <c r="AJ272" s="955">
        <v>0</v>
      </c>
      <c r="AK272" s="948">
        <f t="shared" si="578"/>
        <v>16.8</v>
      </c>
      <c r="AL272" s="948">
        <f t="shared" si="579"/>
        <v>16.8</v>
      </c>
      <c r="AM272" s="948">
        <f t="shared" si="580"/>
        <v>32.512</v>
      </c>
      <c r="AN272" s="948">
        <f t="shared" si="581"/>
        <v>32.512</v>
      </c>
      <c r="AO272" s="948">
        <f t="shared" si="582"/>
        <v>16.8</v>
      </c>
      <c r="AP272" s="948">
        <f t="shared" si="583"/>
        <v>16.8</v>
      </c>
      <c r="AQ272" s="948">
        <f t="shared" si="584"/>
        <v>1.508</v>
      </c>
      <c r="AR272" s="948">
        <f t="shared" si="585"/>
        <v>0</v>
      </c>
      <c r="AS272" s="948">
        <f t="shared" si="586"/>
        <v>0</v>
      </c>
      <c r="AT272" s="948">
        <f t="shared" si="587"/>
        <v>67.2</v>
      </c>
      <c r="AU272" s="948">
        <f t="shared" si="588"/>
        <v>67.2</v>
      </c>
      <c r="AV272" s="948">
        <f t="shared" si="589"/>
        <v>65.024000000000001</v>
      </c>
      <c r="AW272" s="948">
        <f t="shared" si="590"/>
        <v>65.024000000000001</v>
      </c>
      <c r="AX272" s="948">
        <f t="shared" si="591"/>
        <v>67.2</v>
      </c>
      <c r="AY272" s="948">
        <f t="shared" si="592"/>
        <v>67.2</v>
      </c>
      <c r="AZ272" s="948">
        <f t="shared" si="593"/>
        <v>849.00400000000002</v>
      </c>
      <c r="BA272" s="948">
        <f t="shared" si="594"/>
        <v>0</v>
      </c>
      <c r="BB272" s="948">
        <f t="shared" si="595"/>
        <v>0</v>
      </c>
      <c r="BC272" s="957">
        <f t="shared" si="596"/>
        <v>1.5786666666666667</v>
      </c>
      <c r="BD272" s="957">
        <f t="shared" si="596"/>
        <v>1.5786666666666667</v>
      </c>
      <c r="BE272" s="957">
        <f t="shared" si="596"/>
        <v>1.5786666666666667</v>
      </c>
      <c r="BF272" s="957">
        <f t="shared" si="596"/>
        <v>1.5786666666666667</v>
      </c>
      <c r="BG272" s="957">
        <f t="shared" si="596"/>
        <v>1.5786666666666667</v>
      </c>
      <c r="BH272" s="957">
        <f t="shared" si="596"/>
        <v>1.5786666666666667</v>
      </c>
      <c r="BI272" s="957">
        <f t="shared" si="596"/>
        <v>0.39466666666666667</v>
      </c>
      <c r="BJ272" s="957">
        <f t="shared" si="596"/>
        <v>0</v>
      </c>
      <c r="BK272" s="957">
        <f t="shared" si="596"/>
        <v>0</v>
      </c>
      <c r="BL272" s="948">
        <f t="shared" si="597"/>
        <v>106.0864</v>
      </c>
      <c r="BM272" s="948">
        <f t="shared" si="597"/>
        <v>106.0864</v>
      </c>
      <c r="BN272" s="948">
        <f t="shared" si="597"/>
        <v>102.65122133333334</v>
      </c>
      <c r="BO272" s="948">
        <f t="shared" si="597"/>
        <v>102.65122133333334</v>
      </c>
      <c r="BP272" s="948">
        <f t="shared" si="597"/>
        <v>106.0864</v>
      </c>
      <c r="BQ272" s="948">
        <f t="shared" si="597"/>
        <v>106.0864</v>
      </c>
      <c r="BR272" s="948">
        <f t="shared" si="597"/>
        <v>335.07357866666666</v>
      </c>
      <c r="BS272" s="948">
        <f>BB272*BK272</f>
        <v>0</v>
      </c>
      <c r="BT272" s="955">
        <f>SUM(BL272:BS272)/K272</f>
        <v>125.61479444444446</v>
      </c>
    </row>
    <row r="273" spans="1:72">
      <c r="A273" s="952">
        <v>3</v>
      </c>
      <c r="B273" s="952" t="s">
        <v>1092</v>
      </c>
      <c r="C273" s="950" t="s">
        <v>1093</v>
      </c>
      <c r="D273" s="950">
        <v>1</v>
      </c>
      <c r="E273" s="950">
        <v>1</v>
      </c>
      <c r="F273" s="948">
        <v>80</v>
      </c>
      <c r="G273" s="948">
        <v>0.25</v>
      </c>
      <c r="H273" s="948">
        <v>0.6</v>
      </c>
      <c r="I273" s="948">
        <v>0.12</v>
      </c>
      <c r="J273" s="948">
        <f>H273-I273</f>
        <v>0.48</v>
      </c>
      <c r="K273" s="948">
        <f>F273*G273*J273*D273*E273</f>
        <v>9.6</v>
      </c>
      <c r="L273" s="948">
        <f>(2*J273)*F273*E273*D273</f>
        <v>76.8</v>
      </c>
      <c r="M273" s="952"/>
      <c r="N273" s="950">
        <v>16</v>
      </c>
      <c r="O273" s="950">
        <v>16</v>
      </c>
      <c r="P273" s="950">
        <v>16</v>
      </c>
      <c r="Q273" s="950">
        <v>16</v>
      </c>
      <c r="R273" s="950">
        <v>16</v>
      </c>
      <c r="S273" s="950">
        <v>16</v>
      </c>
      <c r="T273" s="950">
        <v>8</v>
      </c>
      <c r="U273" s="950"/>
      <c r="V273" s="950"/>
      <c r="W273" s="950">
        <v>200</v>
      </c>
      <c r="X273" s="950">
        <v>100</v>
      </c>
      <c r="Y273" s="950">
        <v>100</v>
      </c>
      <c r="Z273" s="950">
        <v>9</v>
      </c>
      <c r="AA273" s="950">
        <v>6</v>
      </c>
      <c r="AB273" s="950">
        <v>4</v>
      </c>
      <c r="AC273" s="950">
        <v>4</v>
      </c>
      <c r="AD273" s="950">
        <v>9</v>
      </c>
      <c r="AE273" s="950">
        <v>6</v>
      </c>
      <c r="AF273" s="955">
        <f t="shared" si="575"/>
        <v>101</v>
      </c>
      <c r="AG273" s="955">
        <f t="shared" si="576"/>
        <v>401</v>
      </c>
      <c r="AH273" s="955">
        <f t="shared" si="577"/>
        <v>201</v>
      </c>
      <c r="AI273" s="955">
        <v>0</v>
      </c>
      <c r="AJ273" s="955">
        <v>0</v>
      </c>
      <c r="AK273" s="948">
        <f t="shared" si="578"/>
        <v>20.8</v>
      </c>
      <c r="AL273" s="948">
        <f t="shared" si="579"/>
        <v>20.8</v>
      </c>
      <c r="AM273" s="948">
        <f t="shared" si="580"/>
        <v>40.512</v>
      </c>
      <c r="AN273" s="948">
        <f t="shared" si="581"/>
        <v>40.512</v>
      </c>
      <c r="AO273" s="948">
        <f t="shared" si="582"/>
        <v>20.8</v>
      </c>
      <c r="AP273" s="948">
        <f t="shared" si="583"/>
        <v>20.8</v>
      </c>
      <c r="AQ273" s="948">
        <f t="shared" si="584"/>
        <v>1.508</v>
      </c>
      <c r="AR273" s="948">
        <f t="shared" si="585"/>
        <v>0</v>
      </c>
      <c r="AS273" s="948">
        <f t="shared" si="586"/>
        <v>0</v>
      </c>
      <c r="AT273" s="948">
        <f t="shared" si="587"/>
        <v>187.20000000000002</v>
      </c>
      <c r="AU273" s="948">
        <f t="shared" si="588"/>
        <v>124.80000000000001</v>
      </c>
      <c r="AV273" s="948">
        <f t="shared" si="589"/>
        <v>162.048</v>
      </c>
      <c r="AW273" s="948">
        <f t="shared" si="590"/>
        <v>162.048</v>
      </c>
      <c r="AX273" s="948">
        <f t="shared" si="591"/>
        <v>187.20000000000002</v>
      </c>
      <c r="AY273" s="948">
        <f t="shared" si="592"/>
        <v>124.80000000000001</v>
      </c>
      <c r="AZ273" s="948">
        <f t="shared" si="593"/>
        <v>1060.124</v>
      </c>
      <c r="BA273" s="948">
        <f t="shared" si="594"/>
        <v>0</v>
      </c>
      <c r="BB273" s="948">
        <f t="shared" si="595"/>
        <v>0</v>
      </c>
      <c r="BC273" s="957">
        <f t="shared" si="596"/>
        <v>1.5786666666666667</v>
      </c>
      <c r="BD273" s="957">
        <f t="shared" si="596"/>
        <v>1.5786666666666667</v>
      </c>
      <c r="BE273" s="957">
        <f t="shared" si="596"/>
        <v>1.5786666666666667</v>
      </c>
      <c r="BF273" s="957">
        <f t="shared" si="596"/>
        <v>1.5786666666666667</v>
      </c>
      <c r="BG273" s="957">
        <f t="shared" si="596"/>
        <v>1.5786666666666667</v>
      </c>
      <c r="BH273" s="957">
        <f t="shared" si="596"/>
        <v>1.5786666666666667</v>
      </c>
      <c r="BI273" s="957">
        <f t="shared" si="596"/>
        <v>0.39466666666666667</v>
      </c>
      <c r="BJ273" s="957">
        <f t="shared" si="596"/>
        <v>0</v>
      </c>
      <c r="BK273" s="957">
        <f t="shared" si="596"/>
        <v>0</v>
      </c>
      <c r="BL273" s="948">
        <f t="shared" si="597"/>
        <v>295.52640000000002</v>
      </c>
      <c r="BM273" s="948">
        <f t="shared" si="597"/>
        <v>197.01760000000002</v>
      </c>
      <c r="BN273" s="948">
        <f t="shared" si="597"/>
        <v>255.81977599999999</v>
      </c>
      <c r="BO273" s="948">
        <f t="shared" si="597"/>
        <v>255.81977599999999</v>
      </c>
      <c r="BP273" s="948">
        <f t="shared" si="597"/>
        <v>295.52640000000002</v>
      </c>
      <c r="BQ273" s="948">
        <f t="shared" si="597"/>
        <v>197.01760000000002</v>
      </c>
      <c r="BR273" s="948">
        <f t="shared" si="597"/>
        <v>418.39560533333332</v>
      </c>
      <c r="BS273" s="948">
        <f>BB273*BK273</f>
        <v>0</v>
      </c>
      <c r="BT273" s="955">
        <f>SUM(BL273:BS273)/K273</f>
        <v>199.49199555555555</v>
      </c>
    </row>
    <row r="274" spans="1:72">
      <c r="A274" s="952">
        <v>4</v>
      </c>
      <c r="B274" s="952" t="s">
        <v>1164</v>
      </c>
      <c r="C274" s="950" t="s">
        <v>1165</v>
      </c>
      <c r="D274" s="950">
        <v>1</v>
      </c>
      <c r="E274" s="950">
        <v>1</v>
      </c>
      <c r="F274" s="948">
        <v>80</v>
      </c>
      <c r="G274" s="948">
        <v>0.3</v>
      </c>
      <c r="H274" s="948">
        <v>0.65</v>
      </c>
      <c r="I274" s="948">
        <v>0.12</v>
      </c>
      <c r="J274" s="948">
        <f>H274-I274</f>
        <v>0.53</v>
      </c>
      <c r="K274" s="948">
        <f>F274*G274*J274*D274*E274</f>
        <v>12.72</v>
      </c>
      <c r="L274" s="948">
        <f>(2*J274)*F274*E274*D274</f>
        <v>84.800000000000011</v>
      </c>
      <c r="M274" s="952"/>
      <c r="N274" s="950">
        <v>16</v>
      </c>
      <c r="O274" s="950">
        <v>16</v>
      </c>
      <c r="P274" s="950">
        <v>16</v>
      </c>
      <c r="Q274" s="950">
        <v>16</v>
      </c>
      <c r="R274" s="950">
        <v>16</v>
      </c>
      <c r="S274" s="950">
        <v>16</v>
      </c>
      <c r="T274" s="950">
        <v>8</v>
      </c>
      <c r="U274" s="950"/>
      <c r="V274" s="950"/>
      <c r="W274" s="950">
        <v>200</v>
      </c>
      <c r="X274" s="950">
        <v>100</v>
      </c>
      <c r="Y274" s="950">
        <v>100</v>
      </c>
      <c r="Z274" s="950">
        <v>4</v>
      </c>
      <c r="AA274" s="950">
        <v>4</v>
      </c>
      <c r="AB274" s="950">
        <v>2</v>
      </c>
      <c r="AC274" s="950">
        <v>2</v>
      </c>
      <c r="AD274" s="950">
        <v>4</v>
      </c>
      <c r="AE274" s="950">
        <v>4</v>
      </c>
      <c r="AF274" s="955">
        <f t="shared" si="575"/>
        <v>101</v>
      </c>
      <c r="AG274" s="955">
        <f t="shared" si="576"/>
        <v>401</v>
      </c>
      <c r="AH274" s="955">
        <f t="shared" si="577"/>
        <v>201</v>
      </c>
      <c r="AI274" s="955">
        <v>0</v>
      </c>
      <c r="AJ274" s="955">
        <v>0</v>
      </c>
      <c r="AK274" s="948">
        <f t="shared" si="578"/>
        <v>20.8</v>
      </c>
      <c r="AL274" s="948">
        <f t="shared" si="579"/>
        <v>20.8</v>
      </c>
      <c r="AM274" s="948">
        <f t="shared" si="580"/>
        <v>40.512</v>
      </c>
      <c r="AN274" s="948">
        <f t="shared" si="581"/>
        <v>40.512</v>
      </c>
      <c r="AO274" s="948">
        <f t="shared" si="582"/>
        <v>20.8</v>
      </c>
      <c r="AP274" s="948">
        <f t="shared" si="583"/>
        <v>20.8</v>
      </c>
      <c r="AQ274" s="948">
        <f t="shared" si="584"/>
        <v>1.708</v>
      </c>
      <c r="AR274" s="948">
        <f t="shared" si="585"/>
        <v>0</v>
      </c>
      <c r="AS274" s="948">
        <f t="shared" si="586"/>
        <v>0</v>
      </c>
      <c r="AT274" s="948">
        <f t="shared" si="587"/>
        <v>83.2</v>
      </c>
      <c r="AU274" s="948">
        <f t="shared" si="588"/>
        <v>83.2</v>
      </c>
      <c r="AV274" s="948">
        <f t="shared" si="589"/>
        <v>81.024000000000001</v>
      </c>
      <c r="AW274" s="948">
        <f t="shared" si="590"/>
        <v>81.024000000000001</v>
      </c>
      <c r="AX274" s="948">
        <f t="shared" si="591"/>
        <v>83.2</v>
      </c>
      <c r="AY274" s="948">
        <f t="shared" si="592"/>
        <v>83.2</v>
      </c>
      <c r="AZ274" s="948">
        <f t="shared" si="593"/>
        <v>1200.7239999999999</v>
      </c>
      <c r="BA274" s="948">
        <f t="shared" si="594"/>
        <v>0</v>
      </c>
      <c r="BB274" s="948">
        <f t="shared" si="595"/>
        <v>0</v>
      </c>
      <c r="BC274" s="957">
        <f t="shared" si="596"/>
        <v>1.5786666666666667</v>
      </c>
      <c r="BD274" s="957">
        <f t="shared" si="596"/>
        <v>1.5786666666666667</v>
      </c>
      <c r="BE274" s="957">
        <f t="shared" si="596"/>
        <v>1.5786666666666667</v>
      </c>
      <c r="BF274" s="957">
        <f t="shared" si="596"/>
        <v>1.5786666666666667</v>
      </c>
      <c r="BG274" s="957">
        <f t="shared" si="596"/>
        <v>1.5786666666666667</v>
      </c>
      <c r="BH274" s="957">
        <f t="shared" si="596"/>
        <v>1.5786666666666667</v>
      </c>
      <c r="BI274" s="957">
        <f t="shared" si="596"/>
        <v>0.39466666666666667</v>
      </c>
      <c r="BJ274" s="957">
        <f t="shared" si="596"/>
        <v>0</v>
      </c>
      <c r="BK274" s="957">
        <f t="shared" si="596"/>
        <v>0</v>
      </c>
      <c r="BL274" s="948">
        <f t="shared" si="597"/>
        <v>131.34506666666667</v>
      </c>
      <c r="BM274" s="948">
        <f t="shared" si="597"/>
        <v>131.34506666666667</v>
      </c>
      <c r="BN274" s="948">
        <f t="shared" si="597"/>
        <v>127.909888</v>
      </c>
      <c r="BO274" s="948">
        <f t="shared" si="597"/>
        <v>127.909888</v>
      </c>
      <c r="BP274" s="948">
        <f t="shared" si="597"/>
        <v>131.34506666666667</v>
      </c>
      <c r="BQ274" s="948">
        <f t="shared" si="597"/>
        <v>131.34506666666667</v>
      </c>
      <c r="BR274" s="948">
        <f t="shared" si="597"/>
        <v>473.88573866666661</v>
      </c>
      <c r="BS274" s="948">
        <f>BB274*BK274</f>
        <v>0</v>
      </c>
      <c r="BT274" s="955">
        <f>SUM(BL274:BS274)/K274</f>
        <v>98.670265828092226</v>
      </c>
    </row>
    <row r="275" spans="1:72">
      <c r="A275" s="952">
        <v>5</v>
      </c>
      <c r="B275" s="952" t="s">
        <v>1166</v>
      </c>
      <c r="C275" s="950" t="s">
        <v>1103</v>
      </c>
      <c r="D275" s="950">
        <v>1</v>
      </c>
      <c r="E275" s="950">
        <v>1</v>
      </c>
      <c r="F275" s="948">
        <v>10</v>
      </c>
      <c r="G275" s="948">
        <v>0.25</v>
      </c>
      <c r="H275" s="948">
        <v>0.6</v>
      </c>
      <c r="I275" s="948">
        <v>0.12</v>
      </c>
      <c r="J275" s="948">
        <f t="shared" ref="J275" si="598">H275-I275</f>
        <v>0.48</v>
      </c>
      <c r="K275" s="948">
        <f t="shared" ref="K275" si="599">F275*G275*J275*D275*E275</f>
        <v>1.2</v>
      </c>
      <c r="L275" s="948">
        <f t="shared" ref="L275" si="600">(2*J275)*F275*E275*D275+(D275*E275*F275*G275)</f>
        <v>12.1</v>
      </c>
      <c r="M275" s="952"/>
      <c r="N275" s="950">
        <v>16</v>
      </c>
      <c r="O275" s="950">
        <v>16</v>
      </c>
      <c r="P275" s="950">
        <v>16</v>
      </c>
      <c r="Q275" s="950">
        <v>16</v>
      </c>
      <c r="R275" s="950">
        <v>16</v>
      </c>
      <c r="S275" s="950">
        <v>16</v>
      </c>
      <c r="T275" s="950">
        <v>8</v>
      </c>
      <c r="U275" s="950"/>
      <c r="V275" s="950"/>
      <c r="W275" s="950">
        <v>200</v>
      </c>
      <c r="X275" s="950">
        <v>100</v>
      </c>
      <c r="Y275" s="950">
        <v>100</v>
      </c>
      <c r="Z275" s="950">
        <v>4</v>
      </c>
      <c r="AA275" s="950">
        <v>4</v>
      </c>
      <c r="AB275" s="950">
        <v>2</v>
      </c>
      <c r="AC275" s="950">
        <v>2</v>
      </c>
      <c r="AD275" s="950">
        <v>4</v>
      </c>
      <c r="AE275" s="950">
        <v>4</v>
      </c>
      <c r="AF275" s="955">
        <f t="shared" si="575"/>
        <v>13.5</v>
      </c>
      <c r="AG275" s="955">
        <f t="shared" si="576"/>
        <v>51</v>
      </c>
      <c r="AH275" s="955">
        <f t="shared" si="577"/>
        <v>26</v>
      </c>
      <c r="AI275" s="955">
        <v>0</v>
      </c>
      <c r="AJ275" s="955">
        <v>0</v>
      </c>
      <c r="AK275" s="948">
        <f t="shared" si="578"/>
        <v>3.3000000000000003</v>
      </c>
      <c r="AL275" s="948">
        <f t="shared" si="579"/>
        <v>3.3000000000000003</v>
      </c>
      <c r="AM275" s="948">
        <f t="shared" si="580"/>
        <v>5.5120000000000005</v>
      </c>
      <c r="AN275" s="948">
        <f t="shared" si="581"/>
        <v>5.5120000000000005</v>
      </c>
      <c r="AO275" s="948">
        <f t="shared" si="582"/>
        <v>3.3000000000000003</v>
      </c>
      <c r="AP275" s="948">
        <f t="shared" si="583"/>
        <v>3.3000000000000003</v>
      </c>
      <c r="AQ275" s="948">
        <f t="shared" si="584"/>
        <v>1.508</v>
      </c>
      <c r="AR275" s="948">
        <f t="shared" si="585"/>
        <v>0</v>
      </c>
      <c r="AS275" s="948">
        <f t="shared" si="586"/>
        <v>0</v>
      </c>
      <c r="AT275" s="948">
        <f t="shared" si="587"/>
        <v>13.200000000000001</v>
      </c>
      <c r="AU275" s="948">
        <f t="shared" si="588"/>
        <v>13.200000000000001</v>
      </c>
      <c r="AV275" s="948">
        <f t="shared" si="589"/>
        <v>11.024000000000001</v>
      </c>
      <c r="AW275" s="948">
        <f t="shared" si="590"/>
        <v>11.024000000000001</v>
      </c>
      <c r="AX275" s="948">
        <f t="shared" si="591"/>
        <v>13.200000000000001</v>
      </c>
      <c r="AY275" s="948">
        <f t="shared" si="592"/>
        <v>13.200000000000001</v>
      </c>
      <c r="AZ275" s="948">
        <f t="shared" si="593"/>
        <v>136.47399999999999</v>
      </c>
      <c r="BA275" s="948">
        <f t="shared" si="594"/>
        <v>0</v>
      </c>
      <c r="BB275" s="948">
        <f t="shared" si="595"/>
        <v>0</v>
      </c>
      <c r="BC275" s="957">
        <f t="shared" si="596"/>
        <v>1.5786666666666667</v>
      </c>
      <c r="BD275" s="957">
        <f t="shared" si="596"/>
        <v>1.5786666666666667</v>
      </c>
      <c r="BE275" s="957">
        <f t="shared" si="596"/>
        <v>1.5786666666666667</v>
      </c>
      <c r="BF275" s="957">
        <f t="shared" si="596"/>
        <v>1.5786666666666667</v>
      </c>
      <c r="BG275" s="957">
        <f t="shared" si="596"/>
        <v>1.5786666666666667</v>
      </c>
      <c r="BH275" s="957">
        <f t="shared" si="596"/>
        <v>1.5786666666666667</v>
      </c>
      <c r="BI275" s="957">
        <f t="shared" si="596"/>
        <v>0.39466666666666667</v>
      </c>
      <c r="BJ275" s="957">
        <f t="shared" si="596"/>
        <v>0</v>
      </c>
      <c r="BK275" s="957">
        <f t="shared" si="596"/>
        <v>0</v>
      </c>
      <c r="BL275" s="948">
        <f t="shared" si="597"/>
        <v>20.8384</v>
      </c>
      <c r="BM275" s="948">
        <f t="shared" si="597"/>
        <v>20.8384</v>
      </c>
      <c r="BN275" s="948">
        <f t="shared" si="597"/>
        <v>17.403221333333335</v>
      </c>
      <c r="BO275" s="948">
        <f t="shared" si="597"/>
        <v>17.403221333333335</v>
      </c>
      <c r="BP275" s="948">
        <f t="shared" si="597"/>
        <v>20.8384</v>
      </c>
      <c r="BQ275" s="948">
        <f t="shared" si="597"/>
        <v>20.8384</v>
      </c>
      <c r="BR275" s="948">
        <f t="shared" si="597"/>
        <v>53.86173866666666</v>
      </c>
      <c r="BS275" s="948">
        <f>BB275*BK275</f>
        <v>0</v>
      </c>
      <c r="BT275" s="955">
        <f>SUM(BL275:BS275)/K275</f>
        <v>143.35148444444445</v>
      </c>
    </row>
    <row r="276" spans="1:72">
      <c r="A276" s="952"/>
      <c r="B276" s="952"/>
      <c r="C276" s="950"/>
      <c r="D276" s="950"/>
      <c r="E276" s="950"/>
      <c r="F276" s="948"/>
      <c r="G276" s="948"/>
      <c r="H276" s="948"/>
      <c r="I276" s="948"/>
      <c r="J276" s="948"/>
      <c r="K276" s="948"/>
      <c r="L276" s="948"/>
      <c r="M276" s="952"/>
      <c r="N276" s="948"/>
      <c r="O276" s="950"/>
      <c r="P276" s="950"/>
      <c r="Q276" s="950"/>
      <c r="R276" s="950"/>
      <c r="S276" s="950"/>
      <c r="T276" s="950"/>
      <c r="U276" s="950"/>
      <c r="V276" s="950"/>
      <c r="W276" s="950"/>
      <c r="X276" s="950"/>
      <c r="Y276" s="950"/>
      <c r="Z276" s="950"/>
      <c r="AA276" s="950"/>
      <c r="AB276" s="950"/>
      <c r="AC276" s="950"/>
      <c r="AD276" s="950"/>
      <c r="AE276" s="950"/>
      <c r="AF276" s="955"/>
      <c r="AG276" s="955"/>
      <c r="AH276" s="955"/>
      <c r="AI276" s="955"/>
      <c r="AJ276" s="955"/>
      <c r="AK276" s="948"/>
      <c r="AL276" s="948"/>
      <c r="AM276" s="948"/>
      <c r="AN276" s="948"/>
      <c r="AO276" s="948"/>
      <c r="AP276" s="948"/>
      <c r="AQ276" s="948"/>
      <c r="AR276" s="948"/>
      <c r="AS276" s="948"/>
      <c r="AT276" s="948"/>
      <c r="AU276" s="948"/>
      <c r="AV276" s="948"/>
      <c r="AW276" s="948"/>
      <c r="AX276" s="948"/>
      <c r="AY276" s="948"/>
      <c r="AZ276" s="948"/>
      <c r="BA276" s="948"/>
      <c r="BB276" s="948"/>
      <c r="BC276" s="957"/>
      <c r="BD276" s="957"/>
      <c r="BE276" s="957"/>
      <c r="BF276" s="957"/>
      <c r="BG276" s="957"/>
      <c r="BH276" s="957"/>
      <c r="BI276" s="957"/>
      <c r="BJ276" s="957"/>
      <c r="BK276" s="957"/>
      <c r="BL276" s="948"/>
      <c r="BM276" s="948"/>
      <c r="BN276" s="948"/>
      <c r="BO276" s="948"/>
      <c r="BP276" s="948"/>
      <c r="BQ276" s="948"/>
      <c r="BR276" s="948"/>
      <c r="BS276" s="948"/>
      <c r="BT276" s="955"/>
    </row>
    <row r="277" spans="1:72">
      <c r="A277" s="960" t="s">
        <v>8</v>
      </c>
      <c r="B277" s="960" t="s">
        <v>1104</v>
      </c>
      <c r="C277" s="950"/>
      <c r="D277" s="950"/>
      <c r="E277" s="950"/>
      <c r="F277" s="948"/>
      <c r="G277" s="948"/>
      <c r="H277" s="948"/>
      <c r="I277" s="948"/>
      <c r="J277" s="948"/>
      <c r="K277" s="948"/>
      <c r="L277" s="948"/>
      <c r="M277" s="952"/>
      <c r="N277" s="959" t="str">
        <f>A277</f>
        <v>B</v>
      </c>
      <c r="O277" s="959" t="str">
        <f>B277</f>
        <v>Horizontal</v>
      </c>
      <c r="P277" s="950"/>
      <c r="Q277" s="950"/>
      <c r="R277" s="950"/>
      <c r="S277" s="950"/>
      <c r="T277" s="950"/>
      <c r="U277" s="950"/>
      <c r="V277" s="950"/>
      <c r="W277" s="950"/>
      <c r="X277" s="950"/>
      <c r="Y277" s="950"/>
      <c r="Z277" s="950"/>
      <c r="AA277" s="950"/>
      <c r="AB277" s="950"/>
      <c r="AC277" s="950"/>
      <c r="AD277" s="950"/>
      <c r="AE277" s="950"/>
      <c r="AF277" s="955"/>
      <c r="AG277" s="955"/>
      <c r="AH277" s="955"/>
      <c r="AI277" s="955"/>
      <c r="AJ277" s="955"/>
      <c r="AK277" s="948"/>
      <c r="AL277" s="948"/>
      <c r="AM277" s="948"/>
      <c r="AN277" s="948"/>
      <c r="AO277" s="948"/>
      <c r="AP277" s="948"/>
      <c r="AQ277" s="948"/>
      <c r="AR277" s="948"/>
      <c r="AS277" s="948"/>
      <c r="AT277" s="948"/>
      <c r="AU277" s="948"/>
      <c r="AV277" s="948"/>
      <c r="AW277" s="948"/>
      <c r="AX277" s="948"/>
      <c r="AY277" s="948"/>
      <c r="AZ277" s="948"/>
      <c r="BA277" s="948"/>
      <c r="BB277" s="948"/>
      <c r="BC277" s="957"/>
      <c r="BD277" s="957"/>
      <c r="BE277" s="957"/>
      <c r="BF277" s="957"/>
      <c r="BG277" s="957"/>
      <c r="BH277" s="957"/>
      <c r="BI277" s="957"/>
      <c r="BJ277" s="957"/>
      <c r="BK277" s="957"/>
      <c r="BL277" s="948"/>
      <c r="BM277" s="948"/>
      <c r="BN277" s="948"/>
      <c r="BO277" s="948"/>
      <c r="BP277" s="948"/>
      <c r="BQ277" s="948"/>
      <c r="BR277" s="948"/>
      <c r="BS277" s="948"/>
      <c r="BT277" s="955"/>
    </row>
    <row r="278" spans="1:72">
      <c r="A278" s="952">
        <v>1</v>
      </c>
      <c r="B278" s="952" t="s">
        <v>1167</v>
      </c>
      <c r="C278" s="950" t="s">
        <v>1168</v>
      </c>
      <c r="D278" s="950">
        <v>1</v>
      </c>
      <c r="E278" s="950">
        <v>1</v>
      </c>
      <c r="F278" s="948">
        <v>8</v>
      </c>
      <c r="G278" s="948">
        <v>0.3</v>
      </c>
      <c r="H278" s="948">
        <v>0.7</v>
      </c>
      <c r="I278" s="948">
        <v>0.12</v>
      </c>
      <c r="J278" s="948">
        <f t="shared" ref="J278:J284" si="601">H278-I278</f>
        <v>0.57999999999999996</v>
      </c>
      <c r="K278" s="948">
        <f>F278*G278*J278*D278*E278</f>
        <v>1.3919999999999999</v>
      </c>
      <c r="L278" s="948">
        <f t="shared" ref="L278" si="602">(2*J278)*F278*E278*D278+(D278*E278*F278*G278)</f>
        <v>11.68</v>
      </c>
      <c r="M278" s="952"/>
      <c r="N278" s="950">
        <v>16</v>
      </c>
      <c r="O278" s="950">
        <v>16</v>
      </c>
      <c r="P278" s="950">
        <v>16</v>
      </c>
      <c r="Q278" s="950">
        <v>16</v>
      </c>
      <c r="R278" s="950">
        <v>16</v>
      </c>
      <c r="S278" s="950">
        <v>16</v>
      </c>
      <c r="T278" s="950">
        <v>8</v>
      </c>
      <c r="U278" s="950"/>
      <c r="V278" s="950"/>
      <c r="W278" s="950">
        <v>200</v>
      </c>
      <c r="X278" s="950">
        <v>100</v>
      </c>
      <c r="Y278" s="950">
        <v>100</v>
      </c>
      <c r="Z278" s="950">
        <v>4</v>
      </c>
      <c r="AA278" s="950">
        <v>4</v>
      </c>
      <c r="AB278" s="950">
        <v>2</v>
      </c>
      <c r="AC278" s="950">
        <v>2</v>
      </c>
      <c r="AD278" s="950">
        <v>4</v>
      </c>
      <c r="AE278" s="950">
        <v>4</v>
      </c>
      <c r="AF278" s="955">
        <f t="shared" ref="AF278:AF284" si="603">(F278/4)/(W278/1000)+1</f>
        <v>11</v>
      </c>
      <c r="AG278" s="955">
        <f t="shared" ref="AG278:AG284" si="604">(F278/2)/(X278/1000)+1</f>
        <v>41</v>
      </c>
      <c r="AH278" s="955">
        <f t="shared" ref="AH278:AH284" si="605">(F278/4)/(Y278/1000)+1</f>
        <v>21</v>
      </c>
      <c r="AI278" s="955">
        <v>0</v>
      </c>
      <c r="AJ278" s="955">
        <v>0</v>
      </c>
      <c r="AK278" s="948">
        <f t="shared" ref="AK278:AK284" si="606">(F278/4)+(20*N278/1000)+(10*N278/1000)+(8*N278/1000)+(6*2*N278/1000)</f>
        <v>2.8000000000000003</v>
      </c>
      <c r="AL278" s="948">
        <f t="shared" ref="AL278:AL284" si="607">(F278/4)+(20*O278/1000)+(10*O278/1000)+(8*O278/1000)+(6*2*O278/1000)</f>
        <v>2.8000000000000003</v>
      </c>
      <c r="AM278" s="948">
        <f t="shared" ref="AM278:AM284" si="608">(F278/2)+(20*P278/1000)+(6*2*P278/1000)</f>
        <v>4.5120000000000005</v>
      </c>
      <c r="AN278" s="948">
        <f t="shared" ref="AN278:AN284" si="609">(F278/2)+(20*Q278/1000)+(6*2*Q278/1000)</f>
        <v>4.5120000000000005</v>
      </c>
      <c r="AO278" s="948">
        <f t="shared" ref="AO278:AO284" si="610">(F278/4)+(20*R278/1000)+(10*R278/1000)+(8*R278/1000)+(6*2*R278/1000)</f>
        <v>2.8000000000000003</v>
      </c>
      <c r="AP278" s="948">
        <f t="shared" ref="AP278:AP284" si="611">(F278/4)+(20*S278/1000)+(10*S278/1000)+(8*S278/1000)+(6*2*S278/1000)</f>
        <v>2.8000000000000003</v>
      </c>
      <c r="AQ278" s="948">
        <f t="shared" ref="AQ278:AQ284" si="612">(2*G278)+(2*H278)+(6*T278/1000)-(8*0.03)</f>
        <v>1.8080000000000001</v>
      </c>
      <c r="AR278" s="948">
        <f t="shared" ref="AR278:AR284" si="613">((H278)+(2*6*U278/1000)-(2*0.03))*AI278</f>
        <v>0</v>
      </c>
      <c r="AS278" s="948">
        <f t="shared" ref="AS278:AS284" si="614">((G278)+(2*6*V278/1000)-(2*0.03))*AJ278</f>
        <v>0</v>
      </c>
      <c r="AT278" s="948">
        <f t="shared" ref="AT278:AT284" si="615">AK278*Z278*E278*D278</f>
        <v>11.200000000000001</v>
      </c>
      <c r="AU278" s="948">
        <f t="shared" ref="AU278:AU284" si="616">AL278*AA278*E278*D278</f>
        <v>11.200000000000001</v>
      </c>
      <c r="AV278" s="948">
        <f t="shared" ref="AV278:AV284" si="617">AM278*AB278*E278*D278</f>
        <v>9.0240000000000009</v>
      </c>
      <c r="AW278" s="948">
        <f t="shared" ref="AW278:AW284" si="618">AN278*AC278*E278*D278</f>
        <v>9.0240000000000009</v>
      </c>
      <c r="AX278" s="948">
        <f t="shared" ref="AX278:AX284" si="619">AO278*AD278*E278*D278</f>
        <v>11.200000000000001</v>
      </c>
      <c r="AY278" s="948">
        <f t="shared" ref="AY278:AY284" si="620">AP278*AE278*E278*D278</f>
        <v>11.200000000000001</v>
      </c>
      <c r="AZ278" s="948">
        <f t="shared" ref="AZ278:AZ284" si="621">AQ278*(AF278+AG278+AH278)*E278*D278</f>
        <v>131.98400000000001</v>
      </c>
      <c r="BA278" s="948">
        <f t="shared" ref="BA278:BA284" si="622">AR278*(AF278+AG278+AH278)*E278*D278</f>
        <v>0</v>
      </c>
      <c r="BB278" s="948">
        <f t="shared" ref="BB278:BB284" si="623">AS278*(AF278+AG278+AH278)*E278*D278</f>
        <v>0</v>
      </c>
      <c r="BC278" s="957">
        <f t="shared" ref="BC278:BK284" si="624">N278*N278*0.074/12</f>
        <v>1.5786666666666667</v>
      </c>
      <c r="BD278" s="957">
        <f t="shared" si="624"/>
        <v>1.5786666666666667</v>
      </c>
      <c r="BE278" s="957">
        <f t="shared" si="624"/>
        <v>1.5786666666666667</v>
      </c>
      <c r="BF278" s="957">
        <f t="shared" si="624"/>
        <v>1.5786666666666667</v>
      </c>
      <c r="BG278" s="957">
        <f t="shared" si="624"/>
        <v>1.5786666666666667</v>
      </c>
      <c r="BH278" s="957">
        <f t="shared" si="624"/>
        <v>1.5786666666666667</v>
      </c>
      <c r="BI278" s="957">
        <f t="shared" si="624"/>
        <v>0.39466666666666667</v>
      </c>
      <c r="BJ278" s="957">
        <f t="shared" si="624"/>
        <v>0</v>
      </c>
      <c r="BK278" s="957">
        <f t="shared" si="624"/>
        <v>0</v>
      </c>
      <c r="BL278" s="948">
        <f t="shared" ref="BL278:BR284" si="625">AT278*BC278</f>
        <v>17.68106666666667</v>
      </c>
      <c r="BM278" s="948">
        <f t="shared" si="625"/>
        <v>17.68106666666667</v>
      </c>
      <c r="BN278" s="948">
        <f t="shared" si="625"/>
        <v>14.245888000000001</v>
      </c>
      <c r="BO278" s="948">
        <f t="shared" si="625"/>
        <v>14.245888000000001</v>
      </c>
      <c r="BP278" s="948">
        <f t="shared" si="625"/>
        <v>17.68106666666667</v>
      </c>
      <c r="BQ278" s="948">
        <f t="shared" si="625"/>
        <v>17.68106666666667</v>
      </c>
      <c r="BR278" s="948">
        <f t="shared" si="625"/>
        <v>52.089685333333335</v>
      </c>
      <c r="BS278" s="948">
        <f t="shared" ref="BS278:BS284" si="626">BB278*BK278</f>
        <v>0</v>
      </c>
      <c r="BT278" s="955">
        <f t="shared" ref="BT278:BT284" si="627">SUM(BL278:BS278)/K278</f>
        <v>108.69664367816094</v>
      </c>
    </row>
    <row r="279" spans="1:72">
      <c r="A279" s="952">
        <v>2</v>
      </c>
      <c r="B279" s="952" t="s">
        <v>1186</v>
      </c>
      <c r="C279" s="950" t="s">
        <v>1187</v>
      </c>
      <c r="D279" s="950">
        <v>1</v>
      </c>
      <c r="E279" s="950">
        <v>1</v>
      </c>
      <c r="F279" s="948">
        <v>14</v>
      </c>
      <c r="G279" s="948">
        <v>0.3</v>
      </c>
      <c r="H279" s="948">
        <v>0.65</v>
      </c>
      <c r="I279" s="948">
        <v>0.12</v>
      </c>
      <c r="J279" s="948">
        <f t="shared" si="601"/>
        <v>0.53</v>
      </c>
      <c r="K279" s="948">
        <f t="shared" ref="K279:K284" si="628">F279*G279*J279*D279*E279</f>
        <v>2.2260000000000004</v>
      </c>
      <c r="L279" s="948">
        <f t="shared" ref="L279:L284" si="629">(2*J279)*F279*E279*D279</f>
        <v>14.84</v>
      </c>
      <c r="M279" s="952"/>
      <c r="N279" s="950">
        <v>16</v>
      </c>
      <c r="O279" s="950">
        <v>16</v>
      </c>
      <c r="P279" s="950">
        <v>16</v>
      </c>
      <c r="Q279" s="950">
        <v>16</v>
      </c>
      <c r="R279" s="950">
        <v>16</v>
      </c>
      <c r="S279" s="950">
        <v>16</v>
      </c>
      <c r="T279" s="950">
        <v>8</v>
      </c>
      <c r="U279" s="950"/>
      <c r="V279" s="950"/>
      <c r="W279" s="950">
        <v>200</v>
      </c>
      <c r="X279" s="950">
        <v>100</v>
      </c>
      <c r="Y279" s="950">
        <v>100</v>
      </c>
      <c r="Z279" s="950">
        <v>4</v>
      </c>
      <c r="AA279" s="950">
        <v>4</v>
      </c>
      <c r="AB279" s="950">
        <v>2</v>
      </c>
      <c r="AC279" s="950">
        <v>2</v>
      </c>
      <c r="AD279" s="950">
        <v>4</v>
      </c>
      <c r="AE279" s="950">
        <v>4</v>
      </c>
      <c r="AF279" s="955">
        <f t="shared" si="603"/>
        <v>18.5</v>
      </c>
      <c r="AG279" s="955">
        <f t="shared" si="604"/>
        <v>71</v>
      </c>
      <c r="AH279" s="955">
        <f t="shared" si="605"/>
        <v>36</v>
      </c>
      <c r="AI279" s="955">
        <v>0</v>
      </c>
      <c r="AJ279" s="955">
        <v>0</v>
      </c>
      <c r="AK279" s="948">
        <f t="shared" si="606"/>
        <v>4.3</v>
      </c>
      <c r="AL279" s="948">
        <f t="shared" si="607"/>
        <v>4.3</v>
      </c>
      <c r="AM279" s="948">
        <f t="shared" si="608"/>
        <v>7.5120000000000005</v>
      </c>
      <c r="AN279" s="948">
        <f t="shared" si="609"/>
        <v>7.5120000000000005</v>
      </c>
      <c r="AO279" s="948">
        <f t="shared" si="610"/>
        <v>4.3</v>
      </c>
      <c r="AP279" s="948">
        <f t="shared" si="611"/>
        <v>4.3</v>
      </c>
      <c r="AQ279" s="948">
        <f t="shared" si="612"/>
        <v>1.708</v>
      </c>
      <c r="AR279" s="948">
        <f t="shared" si="613"/>
        <v>0</v>
      </c>
      <c r="AS279" s="948">
        <f t="shared" si="614"/>
        <v>0</v>
      </c>
      <c r="AT279" s="948">
        <f t="shared" si="615"/>
        <v>17.2</v>
      </c>
      <c r="AU279" s="948">
        <f t="shared" si="616"/>
        <v>17.2</v>
      </c>
      <c r="AV279" s="948">
        <f t="shared" si="617"/>
        <v>15.024000000000001</v>
      </c>
      <c r="AW279" s="948">
        <f t="shared" si="618"/>
        <v>15.024000000000001</v>
      </c>
      <c r="AX279" s="948">
        <f t="shared" si="619"/>
        <v>17.2</v>
      </c>
      <c r="AY279" s="948">
        <f t="shared" si="620"/>
        <v>17.2</v>
      </c>
      <c r="AZ279" s="948">
        <f t="shared" si="621"/>
        <v>214.35399999999998</v>
      </c>
      <c r="BA279" s="948">
        <f t="shared" si="622"/>
        <v>0</v>
      </c>
      <c r="BB279" s="948">
        <f t="shared" si="623"/>
        <v>0</v>
      </c>
      <c r="BC279" s="957">
        <f t="shared" si="624"/>
        <v>1.5786666666666667</v>
      </c>
      <c r="BD279" s="957">
        <f t="shared" si="624"/>
        <v>1.5786666666666667</v>
      </c>
      <c r="BE279" s="957">
        <f t="shared" si="624"/>
        <v>1.5786666666666667</v>
      </c>
      <c r="BF279" s="957">
        <f t="shared" si="624"/>
        <v>1.5786666666666667</v>
      </c>
      <c r="BG279" s="957">
        <f t="shared" si="624"/>
        <v>1.5786666666666667</v>
      </c>
      <c r="BH279" s="957">
        <f t="shared" si="624"/>
        <v>1.5786666666666667</v>
      </c>
      <c r="BI279" s="957">
        <f t="shared" si="624"/>
        <v>0.39466666666666667</v>
      </c>
      <c r="BJ279" s="957">
        <f t="shared" si="624"/>
        <v>0</v>
      </c>
      <c r="BK279" s="957">
        <f t="shared" si="624"/>
        <v>0</v>
      </c>
      <c r="BL279" s="948">
        <f t="shared" si="625"/>
        <v>27.153066666666664</v>
      </c>
      <c r="BM279" s="948">
        <f t="shared" si="625"/>
        <v>27.153066666666664</v>
      </c>
      <c r="BN279" s="948">
        <f t="shared" si="625"/>
        <v>23.717888000000002</v>
      </c>
      <c r="BO279" s="948">
        <f t="shared" si="625"/>
        <v>23.717888000000002</v>
      </c>
      <c r="BP279" s="948">
        <f t="shared" si="625"/>
        <v>27.153066666666664</v>
      </c>
      <c r="BQ279" s="948">
        <f t="shared" si="625"/>
        <v>27.153066666666664</v>
      </c>
      <c r="BR279" s="948">
        <f t="shared" si="625"/>
        <v>84.598378666666662</v>
      </c>
      <c r="BS279" s="948">
        <f t="shared" si="626"/>
        <v>0</v>
      </c>
      <c r="BT279" s="955">
        <f t="shared" si="627"/>
        <v>108.10710751722071</v>
      </c>
    </row>
    <row r="280" spans="1:72">
      <c r="A280" s="952">
        <v>2</v>
      </c>
      <c r="B280" s="952" t="s">
        <v>1188</v>
      </c>
      <c r="C280" s="950" t="s">
        <v>1189</v>
      </c>
      <c r="D280" s="950">
        <v>1</v>
      </c>
      <c r="E280" s="950">
        <v>1</v>
      </c>
      <c r="F280" s="948">
        <v>14</v>
      </c>
      <c r="G280" s="948">
        <v>0.3</v>
      </c>
      <c r="H280" s="948">
        <v>0.7</v>
      </c>
      <c r="I280" s="948">
        <v>0.12</v>
      </c>
      <c r="J280" s="948">
        <f t="shared" si="601"/>
        <v>0.57999999999999996</v>
      </c>
      <c r="K280" s="948">
        <f t="shared" si="628"/>
        <v>2.4359999999999999</v>
      </c>
      <c r="L280" s="948">
        <f t="shared" si="629"/>
        <v>16.239999999999998</v>
      </c>
      <c r="M280" s="952"/>
      <c r="N280" s="950">
        <v>16</v>
      </c>
      <c r="O280" s="950">
        <v>16</v>
      </c>
      <c r="P280" s="950">
        <v>16</v>
      </c>
      <c r="Q280" s="950">
        <v>16</v>
      </c>
      <c r="R280" s="950">
        <v>16</v>
      </c>
      <c r="S280" s="950">
        <v>16</v>
      </c>
      <c r="T280" s="950">
        <v>8</v>
      </c>
      <c r="U280" s="950"/>
      <c r="V280" s="950"/>
      <c r="W280" s="950">
        <v>200</v>
      </c>
      <c r="X280" s="950">
        <v>100</v>
      </c>
      <c r="Y280" s="950">
        <v>100</v>
      </c>
      <c r="Z280" s="950">
        <v>4</v>
      </c>
      <c r="AA280" s="950">
        <v>4</v>
      </c>
      <c r="AB280" s="950">
        <v>2</v>
      </c>
      <c r="AC280" s="950">
        <v>2</v>
      </c>
      <c r="AD280" s="950">
        <v>4</v>
      </c>
      <c r="AE280" s="950">
        <v>4</v>
      </c>
      <c r="AF280" s="955">
        <f t="shared" si="603"/>
        <v>18.5</v>
      </c>
      <c r="AG280" s="955">
        <f t="shared" si="604"/>
        <v>71</v>
      </c>
      <c r="AH280" s="955">
        <f t="shared" si="605"/>
        <v>36</v>
      </c>
      <c r="AI280" s="955">
        <v>0</v>
      </c>
      <c r="AJ280" s="955">
        <v>0</v>
      </c>
      <c r="AK280" s="948">
        <f t="shared" si="606"/>
        <v>4.3</v>
      </c>
      <c r="AL280" s="948">
        <f t="shared" si="607"/>
        <v>4.3</v>
      </c>
      <c r="AM280" s="948">
        <f t="shared" si="608"/>
        <v>7.5120000000000005</v>
      </c>
      <c r="AN280" s="948">
        <f t="shared" si="609"/>
        <v>7.5120000000000005</v>
      </c>
      <c r="AO280" s="948">
        <f t="shared" si="610"/>
        <v>4.3</v>
      </c>
      <c r="AP280" s="948">
        <f t="shared" si="611"/>
        <v>4.3</v>
      </c>
      <c r="AQ280" s="948">
        <f t="shared" si="612"/>
        <v>1.8080000000000001</v>
      </c>
      <c r="AR280" s="948">
        <f t="shared" si="613"/>
        <v>0</v>
      </c>
      <c r="AS280" s="948">
        <f t="shared" si="614"/>
        <v>0</v>
      </c>
      <c r="AT280" s="948">
        <f t="shared" si="615"/>
        <v>17.2</v>
      </c>
      <c r="AU280" s="948">
        <f t="shared" si="616"/>
        <v>17.2</v>
      </c>
      <c r="AV280" s="948">
        <f t="shared" si="617"/>
        <v>15.024000000000001</v>
      </c>
      <c r="AW280" s="948">
        <f t="shared" si="618"/>
        <v>15.024000000000001</v>
      </c>
      <c r="AX280" s="948">
        <f t="shared" si="619"/>
        <v>17.2</v>
      </c>
      <c r="AY280" s="948">
        <f t="shared" si="620"/>
        <v>17.2</v>
      </c>
      <c r="AZ280" s="948">
        <f t="shared" si="621"/>
        <v>226.904</v>
      </c>
      <c r="BA280" s="948">
        <f t="shared" si="622"/>
        <v>0</v>
      </c>
      <c r="BB280" s="948">
        <f t="shared" si="623"/>
        <v>0</v>
      </c>
      <c r="BC280" s="957">
        <f t="shared" si="624"/>
        <v>1.5786666666666667</v>
      </c>
      <c r="BD280" s="957">
        <f t="shared" si="624"/>
        <v>1.5786666666666667</v>
      </c>
      <c r="BE280" s="957">
        <f t="shared" si="624"/>
        <v>1.5786666666666667</v>
      </c>
      <c r="BF280" s="957">
        <f t="shared" si="624"/>
        <v>1.5786666666666667</v>
      </c>
      <c r="BG280" s="957">
        <f t="shared" si="624"/>
        <v>1.5786666666666667</v>
      </c>
      <c r="BH280" s="957">
        <f t="shared" si="624"/>
        <v>1.5786666666666667</v>
      </c>
      <c r="BI280" s="957">
        <f t="shared" si="624"/>
        <v>0.39466666666666667</v>
      </c>
      <c r="BJ280" s="957">
        <f t="shared" si="624"/>
        <v>0</v>
      </c>
      <c r="BK280" s="957">
        <f t="shared" si="624"/>
        <v>0</v>
      </c>
      <c r="BL280" s="948">
        <f t="shared" si="625"/>
        <v>27.153066666666664</v>
      </c>
      <c r="BM280" s="948">
        <f t="shared" si="625"/>
        <v>27.153066666666664</v>
      </c>
      <c r="BN280" s="948">
        <f t="shared" si="625"/>
        <v>23.717888000000002</v>
      </c>
      <c r="BO280" s="948">
        <f t="shared" si="625"/>
        <v>23.717888000000002</v>
      </c>
      <c r="BP280" s="948">
        <f t="shared" si="625"/>
        <v>27.153066666666664</v>
      </c>
      <c r="BQ280" s="948">
        <f t="shared" si="625"/>
        <v>27.153066666666664</v>
      </c>
      <c r="BR280" s="948">
        <f t="shared" si="625"/>
        <v>89.551445333333334</v>
      </c>
      <c r="BS280" s="948">
        <f t="shared" si="626"/>
        <v>0</v>
      </c>
      <c r="BT280" s="955">
        <f t="shared" si="627"/>
        <v>100.8208078817734</v>
      </c>
    </row>
    <row r="281" spans="1:72">
      <c r="A281" s="952">
        <v>3</v>
      </c>
      <c r="B281" s="952" t="s">
        <v>1170</v>
      </c>
      <c r="C281" s="950" t="s">
        <v>1190</v>
      </c>
      <c r="D281" s="950">
        <v>1</v>
      </c>
      <c r="E281" s="950">
        <v>1</v>
      </c>
      <c r="F281" s="948">
        <v>32</v>
      </c>
      <c r="G281" s="948">
        <v>0.3</v>
      </c>
      <c r="H281" s="948">
        <v>0.65</v>
      </c>
      <c r="I281" s="948">
        <v>0.12</v>
      </c>
      <c r="J281" s="948">
        <f t="shared" si="601"/>
        <v>0.53</v>
      </c>
      <c r="K281" s="948">
        <f t="shared" si="628"/>
        <v>5.0880000000000001</v>
      </c>
      <c r="L281" s="948">
        <f t="shared" si="629"/>
        <v>33.92</v>
      </c>
      <c r="M281" s="952"/>
      <c r="N281" s="950">
        <v>16</v>
      </c>
      <c r="O281" s="950">
        <v>16</v>
      </c>
      <c r="P281" s="950">
        <v>16</v>
      </c>
      <c r="Q281" s="950">
        <v>16</v>
      </c>
      <c r="R281" s="950">
        <v>16</v>
      </c>
      <c r="S281" s="950">
        <v>16</v>
      </c>
      <c r="T281" s="950">
        <v>8</v>
      </c>
      <c r="U281" s="950"/>
      <c r="V281" s="950"/>
      <c r="W281" s="950">
        <v>200</v>
      </c>
      <c r="X281" s="950">
        <v>100</v>
      </c>
      <c r="Y281" s="950">
        <v>100</v>
      </c>
      <c r="Z281" s="950">
        <v>9</v>
      </c>
      <c r="AA281" s="950">
        <v>6</v>
      </c>
      <c r="AB281" s="950">
        <v>4</v>
      </c>
      <c r="AC281" s="950">
        <v>4</v>
      </c>
      <c r="AD281" s="950">
        <v>9</v>
      </c>
      <c r="AE281" s="950">
        <v>6</v>
      </c>
      <c r="AF281" s="955">
        <f t="shared" si="603"/>
        <v>41</v>
      </c>
      <c r="AG281" s="955">
        <f t="shared" si="604"/>
        <v>161</v>
      </c>
      <c r="AH281" s="955">
        <f t="shared" si="605"/>
        <v>81</v>
      </c>
      <c r="AI281" s="955">
        <v>0</v>
      </c>
      <c r="AJ281" s="955">
        <v>0</v>
      </c>
      <c r="AK281" s="948">
        <f t="shared" si="606"/>
        <v>8.8000000000000007</v>
      </c>
      <c r="AL281" s="948">
        <f t="shared" si="607"/>
        <v>8.8000000000000007</v>
      </c>
      <c r="AM281" s="948">
        <f t="shared" si="608"/>
        <v>16.512</v>
      </c>
      <c r="AN281" s="948">
        <f t="shared" si="609"/>
        <v>16.512</v>
      </c>
      <c r="AO281" s="948">
        <f t="shared" si="610"/>
        <v>8.8000000000000007</v>
      </c>
      <c r="AP281" s="948">
        <f t="shared" si="611"/>
        <v>8.8000000000000007</v>
      </c>
      <c r="AQ281" s="948">
        <f t="shared" si="612"/>
        <v>1.708</v>
      </c>
      <c r="AR281" s="948">
        <f t="shared" si="613"/>
        <v>0</v>
      </c>
      <c r="AS281" s="948">
        <f t="shared" si="614"/>
        <v>0</v>
      </c>
      <c r="AT281" s="948">
        <f t="shared" si="615"/>
        <v>79.2</v>
      </c>
      <c r="AU281" s="948">
        <f t="shared" si="616"/>
        <v>52.800000000000004</v>
      </c>
      <c r="AV281" s="948">
        <f t="shared" si="617"/>
        <v>66.048000000000002</v>
      </c>
      <c r="AW281" s="948">
        <f t="shared" si="618"/>
        <v>66.048000000000002</v>
      </c>
      <c r="AX281" s="948">
        <f t="shared" si="619"/>
        <v>79.2</v>
      </c>
      <c r="AY281" s="948">
        <f t="shared" si="620"/>
        <v>52.800000000000004</v>
      </c>
      <c r="AZ281" s="948">
        <f t="shared" si="621"/>
        <v>483.36399999999998</v>
      </c>
      <c r="BA281" s="948">
        <f t="shared" si="622"/>
        <v>0</v>
      </c>
      <c r="BB281" s="948">
        <f t="shared" si="623"/>
        <v>0</v>
      </c>
      <c r="BC281" s="957">
        <f t="shared" si="624"/>
        <v>1.5786666666666667</v>
      </c>
      <c r="BD281" s="957">
        <f t="shared" si="624"/>
        <v>1.5786666666666667</v>
      </c>
      <c r="BE281" s="957">
        <f t="shared" si="624"/>
        <v>1.5786666666666667</v>
      </c>
      <c r="BF281" s="957">
        <f t="shared" si="624"/>
        <v>1.5786666666666667</v>
      </c>
      <c r="BG281" s="957">
        <f t="shared" si="624"/>
        <v>1.5786666666666667</v>
      </c>
      <c r="BH281" s="957">
        <f t="shared" si="624"/>
        <v>1.5786666666666667</v>
      </c>
      <c r="BI281" s="957">
        <f t="shared" si="624"/>
        <v>0.39466666666666667</v>
      </c>
      <c r="BJ281" s="957">
        <f t="shared" si="624"/>
        <v>0</v>
      </c>
      <c r="BK281" s="957">
        <f t="shared" si="624"/>
        <v>0</v>
      </c>
      <c r="BL281" s="948">
        <f t="shared" si="625"/>
        <v>125.0304</v>
      </c>
      <c r="BM281" s="948">
        <f t="shared" si="625"/>
        <v>83.3536</v>
      </c>
      <c r="BN281" s="948">
        <f t="shared" si="625"/>
        <v>104.267776</v>
      </c>
      <c r="BO281" s="948">
        <f t="shared" si="625"/>
        <v>104.267776</v>
      </c>
      <c r="BP281" s="948">
        <f t="shared" si="625"/>
        <v>125.0304</v>
      </c>
      <c r="BQ281" s="948">
        <f t="shared" si="625"/>
        <v>83.3536</v>
      </c>
      <c r="BR281" s="948">
        <f t="shared" si="625"/>
        <v>190.76765866666665</v>
      </c>
      <c r="BS281" s="948">
        <f t="shared" si="626"/>
        <v>0</v>
      </c>
      <c r="BT281" s="955">
        <f t="shared" si="627"/>
        <v>160.39135429769394</v>
      </c>
    </row>
    <row r="282" spans="1:72">
      <c r="A282" s="952">
        <v>4</v>
      </c>
      <c r="B282" s="952" t="s">
        <v>1183</v>
      </c>
      <c r="C282" s="950" t="s">
        <v>1191</v>
      </c>
      <c r="D282" s="950">
        <v>1</v>
      </c>
      <c r="E282" s="950">
        <v>1</v>
      </c>
      <c r="F282" s="948">
        <v>24</v>
      </c>
      <c r="G282" s="948">
        <v>0.3</v>
      </c>
      <c r="H282" s="948">
        <v>0.65</v>
      </c>
      <c r="I282" s="948">
        <v>0.12</v>
      </c>
      <c r="J282" s="948">
        <f t="shared" si="601"/>
        <v>0.53</v>
      </c>
      <c r="K282" s="948">
        <f t="shared" si="628"/>
        <v>3.8159999999999998</v>
      </c>
      <c r="L282" s="948">
        <f t="shared" si="629"/>
        <v>25.44</v>
      </c>
      <c r="M282" s="952"/>
      <c r="N282" s="950">
        <v>25</v>
      </c>
      <c r="O282" s="950">
        <v>25</v>
      </c>
      <c r="P282" s="950">
        <v>25</v>
      </c>
      <c r="Q282" s="950">
        <v>25</v>
      </c>
      <c r="R282" s="950">
        <v>25</v>
      </c>
      <c r="S282" s="950">
        <v>25</v>
      </c>
      <c r="T282" s="950">
        <v>8</v>
      </c>
      <c r="U282" s="950"/>
      <c r="V282" s="950"/>
      <c r="W282" s="950">
        <v>200</v>
      </c>
      <c r="X282" s="950">
        <v>100</v>
      </c>
      <c r="Y282" s="950">
        <v>100</v>
      </c>
      <c r="Z282" s="950">
        <v>9</v>
      </c>
      <c r="AA282" s="950">
        <v>6</v>
      </c>
      <c r="AB282" s="950">
        <v>4</v>
      </c>
      <c r="AC282" s="950">
        <v>4</v>
      </c>
      <c r="AD282" s="950">
        <v>9</v>
      </c>
      <c r="AE282" s="950">
        <v>6</v>
      </c>
      <c r="AF282" s="955">
        <f t="shared" si="603"/>
        <v>31</v>
      </c>
      <c r="AG282" s="955">
        <f t="shared" si="604"/>
        <v>121</v>
      </c>
      <c r="AH282" s="955">
        <f t="shared" si="605"/>
        <v>61</v>
      </c>
      <c r="AI282" s="955">
        <v>0</v>
      </c>
      <c r="AJ282" s="955">
        <v>0</v>
      </c>
      <c r="AK282" s="948">
        <f t="shared" si="606"/>
        <v>7.25</v>
      </c>
      <c r="AL282" s="948">
        <f t="shared" si="607"/>
        <v>7.25</v>
      </c>
      <c r="AM282" s="948">
        <f t="shared" si="608"/>
        <v>12.8</v>
      </c>
      <c r="AN282" s="948">
        <f t="shared" si="609"/>
        <v>12.8</v>
      </c>
      <c r="AO282" s="948">
        <f t="shared" si="610"/>
        <v>7.25</v>
      </c>
      <c r="AP282" s="948">
        <f t="shared" si="611"/>
        <v>7.25</v>
      </c>
      <c r="AQ282" s="948">
        <f t="shared" si="612"/>
        <v>1.708</v>
      </c>
      <c r="AR282" s="948">
        <f t="shared" si="613"/>
        <v>0</v>
      </c>
      <c r="AS282" s="948">
        <f t="shared" si="614"/>
        <v>0</v>
      </c>
      <c r="AT282" s="948">
        <f t="shared" si="615"/>
        <v>65.25</v>
      </c>
      <c r="AU282" s="948">
        <f t="shared" si="616"/>
        <v>43.5</v>
      </c>
      <c r="AV282" s="948">
        <f t="shared" si="617"/>
        <v>51.2</v>
      </c>
      <c r="AW282" s="948">
        <f t="shared" si="618"/>
        <v>51.2</v>
      </c>
      <c r="AX282" s="948">
        <f t="shared" si="619"/>
        <v>65.25</v>
      </c>
      <c r="AY282" s="948">
        <f t="shared" si="620"/>
        <v>43.5</v>
      </c>
      <c r="AZ282" s="948">
        <f t="shared" si="621"/>
        <v>363.80399999999997</v>
      </c>
      <c r="BA282" s="948">
        <f t="shared" si="622"/>
        <v>0</v>
      </c>
      <c r="BB282" s="948">
        <f t="shared" si="623"/>
        <v>0</v>
      </c>
      <c r="BC282" s="957">
        <f t="shared" si="624"/>
        <v>3.8541666666666665</v>
      </c>
      <c r="BD282" s="957">
        <f t="shared" si="624"/>
        <v>3.8541666666666665</v>
      </c>
      <c r="BE282" s="957">
        <f t="shared" si="624"/>
        <v>3.8541666666666665</v>
      </c>
      <c r="BF282" s="957">
        <f t="shared" si="624"/>
        <v>3.8541666666666665</v>
      </c>
      <c r="BG282" s="957">
        <f t="shared" si="624"/>
        <v>3.8541666666666665</v>
      </c>
      <c r="BH282" s="957">
        <f t="shared" si="624"/>
        <v>3.8541666666666665</v>
      </c>
      <c r="BI282" s="957">
        <f t="shared" si="624"/>
        <v>0.39466666666666667</v>
      </c>
      <c r="BJ282" s="957">
        <f t="shared" si="624"/>
        <v>0</v>
      </c>
      <c r="BK282" s="957">
        <f t="shared" si="624"/>
        <v>0</v>
      </c>
      <c r="BL282" s="948">
        <f t="shared" si="625"/>
        <v>251.484375</v>
      </c>
      <c r="BM282" s="948">
        <f t="shared" si="625"/>
        <v>167.65625</v>
      </c>
      <c r="BN282" s="948">
        <f t="shared" si="625"/>
        <v>197.33333333333334</v>
      </c>
      <c r="BO282" s="948">
        <f t="shared" si="625"/>
        <v>197.33333333333334</v>
      </c>
      <c r="BP282" s="948">
        <f t="shared" si="625"/>
        <v>251.484375</v>
      </c>
      <c r="BQ282" s="948">
        <f t="shared" si="625"/>
        <v>167.65625</v>
      </c>
      <c r="BR282" s="948">
        <f t="shared" si="625"/>
        <v>143.581312</v>
      </c>
      <c r="BS282" s="948">
        <f t="shared" si="626"/>
        <v>0</v>
      </c>
      <c r="BT282" s="955">
        <f t="shared" si="627"/>
        <v>360.72568885394833</v>
      </c>
    </row>
    <row r="283" spans="1:72">
      <c r="A283" s="952">
        <v>5</v>
      </c>
      <c r="B283" s="952" t="s">
        <v>1173</v>
      </c>
      <c r="C283" s="950" t="s">
        <v>1174</v>
      </c>
      <c r="D283" s="950">
        <v>1</v>
      </c>
      <c r="E283" s="950">
        <v>1</v>
      </c>
      <c r="F283" s="948">
        <v>5.4</v>
      </c>
      <c r="G283" s="948">
        <v>0.3</v>
      </c>
      <c r="H283" s="948">
        <v>0.65</v>
      </c>
      <c r="I283" s="948">
        <v>0.12</v>
      </c>
      <c r="J283" s="948">
        <f t="shared" si="601"/>
        <v>0.53</v>
      </c>
      <c r="K283" s="948">
        <f t="shared" si="628"/>
        <v>0.85860000000000014</v>
      </c>
      <c r="L283" s="948">
        <f t="shared" si="629"/>
        <v>5.7240000000000011</v>
      </c>
      <c r="M283" s="952"/>
      <c r="N283" s="950">
        <v>16</v>
      </c>
      <c r="O283" s="950">
        <v>16</v>
      </c>
      <c r="P283" s="950">
        <v>16</v>
      </c>
      <c r="Q283" s="950">
        <v>16</v>
      </c>
      <c r="R283" s="950">
        <v>16</v>
      </c>
      <c r="S283" s="950">
        <v>16</v>
      </c>
      <c r="T283" s="950">
        <v>8</v>
      </c>
      <c r="U283" s="950"/>
      <c r="V283" s="950"/>
      <c r="W283" s="950">
        <v>200</v>
      </c>
      <c r="X283" s="950">
        <v>100</v>
      </c>
      <c r="Y283" s="950">
        <v>100</v>
      </c>
      <c r="Z283" s="950">
        <v>9</v>
      </c>
      <c r="AA283" s="950">
        <v>6</v>
      </c>
      <c r="AB283" s="950">
        <v>4</v>
      </c>
      <c r="AC283" s="950">
        <v>4</v>
      </c>
      <c r="AD283" s="950">
        <v>9</v>
      </c>
      <c r="AE283" s="950">
        <v>6</v>
      </c>
      <c r="AF283" s="955">
        <f t="shared" si="603"/>
        <v>7.75</v>
      </c>
      <c r="AG283" s="955">
        <f t="shared" si="604"/>
        <v>28</v>
      </c>
      <c r="AH283" s="955">
        <f t="shared" si="605"/>
        <v>14.5</v>
      </c>
      <c r="AI283" s="955">
        <v>0</v>
      </c>
      <c r="AJ283" s="955">
        <v>0</v>
      </c>
      <c r="AK283" s="948">
        <f t="shared" si="606"/>
        <v>2.1500000000000004</v>
      </c>
      <c r="AL283" s="948">
        <f t="shared" si="607"/>
        <v>2.1500000000000004</v>
      </c>
      <c r="AM283" s="948">
        <f t="shared" si="608"/>
        <v>3.2120000000000002</v>
      </c>
      <c r="AN283" s="948">
        <f t="shared" si="609"/>
        <v>3.2120000000000002</v>
      </c>
      <c r="AO283" s="948">
        <f t="shared" si="610"/>
        <v>2.1500000000000004</v>
      </c>
      <c r="AP283" s="948">
        <f t="shared" si="611"/>
        <v>2.1500000000000004</v>
      </c>
      <c r="AQ283" s="948">
        <f t="shared" si="612"/>
        <v>1.708</v>
      </c>
      <c r="AR283" s="948">
        <f t="shared" si="613"/>
        <v>0</v>
      </c>
      <c r="AS283" s="948">
        <f t="shared" si="614"/>
        <v>0</v>
      </c>
      <c r="AT283" s="948">
        <f t="shared" si="615"/>
        <v>19.350000000000001</v>
      </c>
      <c r="AU283" s="948">
        <f t="shared" si="616"/>
        <v>12.900000000000002</v>
      </c>
      <c r="AV283" s="948">
        <f t="shared" si="617"/>
        <v>12.848000000000001</v>
      </c>
      <c r="AW283" s="948">
        <f t="shared" si="618"/>
        <v>12.848000000000001</v>
      </c>
      <c r="AX283" s="948">
        <f t="shared" si="619"/>
        <v>19.350000000000001</v>
      </c>
      <c r="AY283" s="948">
        <f t="shared" si="620"/>
        <v>12.900000000000002</v>
      </c>
      <c r="AZ283" s="948">
        <f t="shared" si="621"/>
        <v>85.826999999999998</v>
      </c>
      <c r="BA283" s="948">
        <f t="shared" si="622"/>
        <v>0</v>
      </c>
      <c r="BB283" s="948">
        <f t="shared" si="623"/>
        <v>0</v>
      </c>
      <c r="BC283" s="957">
        <f t="shared" si="624"/>
        <v>1.5786666666666667</v>
      </c>
      <c r="BD283" s="957">
        <f t="shared" si="624"/>
        <v>1.5786666666666667</v>
      </c>
      <c r="BE283" s="957">
        <f t="shared" si="624"/>
        <v>1.5786666666666667</v>
      </c>
      <c r="BF283" s="957">
        <f t="shared" si="624"/>
        <v>1.5786666666666667</v>
      </c>
      <c r="BG283" s="957">
        <f t="shared" si="624"/>
        <v>1.5786666666666667</v>
      </c>
      <c r="BH283" s="957">
        <f t="shared" si="624"/>
        <v>1.5786666666666667</v>
      </c>
      <c r="BI283" s="957">
        <f t="shared" si="624"/>
        <v>0.39466666666666667</v>
      </c>
      <c r="BJ283" s="957">
        <f t="shared" si="624"/>
        <v>0</v>
      </c>
      <c r="BK283" s="957">
        <f t="shared" si="624"/>
        <v>0</v>
      </c>
      <c r="BL283" s="948">
        <f t="shared" si="625"/>
        <v>30.547200000000004</v>
      </c>
      <c r="BM283" s="948">
        <f t="shared" si="625"/>
        <v>20.364800000000002</v>
      </c>
      <c r="BN283" s="948">
        <f t="shared" si="625"/>
        <v>20.282709333333333</v>
      </c>
      <c r="BO283" s="948">
        <f t="shared" si="625"/>
        <v>20.282709333333333</v>
      </c>
      <c r="BP283" s="948">
        <f t="shared" si="625"/>
        <v>30.547200000000004</v>
      </c>
      <c r="BQ283" s="948">
        <f t="shared" si="625"/>
        <v>20.364800000000002</v>
      </c>
      <c r="BR283" s="948">
        <f t="shared" si="625"/>
        <v>33.873055999999998</v>
      </c>
      <c r="BS283" s="948">
        <f t="shared" si="626"/>
        <v>0</v>
      </c>
      <c r="BT283" s="955">
        <f t="shared" si="627"/>
        <v>205.29055982607341</v>
      </c>
    </row>
    <row r="284" spans="1:72">
      <c r="A284" s="952">
        <v>6</v>
      </c>
      <c r="B284" s="952" t="s">
        <v>1192</v>
      </c>
      <c r="C284" s="950" t="s">
        <v>1193</v>
      </c>
      <c r="D284" s="950">
        <v>1</v>
      </c>
      <c r="E284" s="950">
        <v>1</v>
      </c>
      <c r="F284" s="948">
        <v>14</v>
      </c>
      <c r="G284" s="948">
        <v>0.3</v>
      </c>
      <c r="H284" s="948">
        <v>0.7</v>
      </c>
      <c r="I284" s="948">
        <v>0.12</v>
      </c>
      <c r="J284" s="948">
        <f t="shared" si="601"/>
        <v>0.57999999999999996</v>
      </c>
      <c r="K284" s="948">
        <f t="shared" si="628"/>
        <v>2.4359999999999999</v>
      </c>
      <c r="L284" s="948">
        <f t="shared" si="629"/>
        <v>16.239999999999998</v>
      </c>
      <c r="M284" s="952"/>
      <c r="N284" s="950">
        <v>25</v>
      </c>
      <c r="O284" s="950">
        <v>25</v>
      </c>
      <c r="P284" s="950">
        <v>25</v>
      </c>
      <c r="Q284" s="950">
        <v>25</v>
      </c>
      <c r="R284" s="950">
        <v>25</v>
      </c>
      <c r="S284" s="950">
        <v>25</v>
      </c>
      <c r="T284" s="950">
        <v>8</v>
      </c>
      <c r="U284" s="950"/>
      <c r="V284" s="950"/>
      <c r="W284" s="950">
        <v>200</v>
      </c>
      <c r="X284" s="950">
        <v>100</v>
      </c>
      <c r="Y284" s="950">
        <v>100</v>
      </c>
      <c r="Z284" s="950">
        <v>9</v>
      </c>
      <c r="AA284" s="950">
        <v>6</v>
      </c>
      <c r="AB284" s="950">
        <v>4</v>
      </c>
      <c r="AC284" s="950">
        <v>4</v>
      </c>
      <c r="AD284" s="950">
        <v>9</v>
      </c>
      <c r="AE284" s="950">
        <v>6</v>
      </c>
      <c r="AF284" s="955">
        <f t="shared" si="603"/>
        <v>18.5</v>
      </c>
      <c r="AG284" s="955">
        <f t="shared" si="604"/>
        <v>71</v>
      </c>
      <c r="AH284" s="955">
        <f t="shared" si="605"/>
        <v>36</v>
      </c>
      <c r="AI284" s="955">
        <v>0</v>
      </c>
      <c r="AJ284" s="955">
        <v>0</v>
      </c>
      <c r="AK284" s="948">
        <f t="shared" si="606"/>
        <v>4.75</v>
      </c>
      <c r="AL284" s="948">
        <f t="shared" si="607"/>
        <v>4.75</v>
      </c>
      <c r="AM284" s="948">
        <f t="shared" si="608"/>
        <v>7.8</v>
      </c>
      <c r="AN284" s="948">
        <f t="shared" si="609"/>
        <v>7.8</v>
      </c>
      <c r="AO284" s="948">
        <f t="shared" si="610"/>
        <v>4.75</v>
      </c>
      <c r="AP284" s="948">
        <f t="shared" si="611"/>
        <v>4.75</v>
      </c>
      <c r="AQ284" s="948">
        <f t="shared" si="612"/>
        <v>1.8080000000000001</v>
      </c>
      <c r="AR284" s="948">
        <f t="shared" si="613"/>
        <v>0</v>
      </c>
      <c r="AS284" s="948">
        <f t="shared" si="614"/>
        <v>0</v>
      </c>
      <c r="AT284" s="948">
        <f t="shared" si="615"/>
        <v>42.75</v>
      </c>
      <c r="AU284" s="948">
        <f t="shared" si="616"/>
        <v>28.5</v>
      </c>
      <c r="AV284" s="948">
        <f t="shared" si="617"/>
        <v>31.2</v>
      </c>
      <c r="AW284" s="948">
        <f t="shared" si="618"/>
        <v>31.2</v>
      </c>
      <c r="AX284" s="948">
        <f t="shared" si="619"/>
        <v>42.75</v>
      </c>
      <c r="AY284" s="948">
        <f t="shared" si="620"/>
        <v>28.5</v>
      </c>
      <c r="AZ284" s="948">
        <f t="shared" si="621"/>
        <v>226.904</v>
      </c>
      <c r="BA284" s="948">
        <f t="shared" si="622"/>
        <v>0</v>
      </c>
      <c r="BB284" s="948">
        <f t="shared" si="623"/>
        <v>0</v>
      </c>
      <c r="BC284" s="957">
        <f t="shared" si="624"/>
        <v>3.8541666666666665</v>
      </c>
      <c r="BD284" s="957">
        <f t="shared" si="624"/>
        <v>3.8541666666666665</v>
      </c>
      <c r="BE284" s="957">
        <f t="shared" si="624"/>
        <v>3.8541666666666665</v>
      </c>
      <c r="BF284" s="957">
        <f t="shared" si="624"/>
        <v>3.8541666666666665</v>
      </c>
      <c r="BG284" s="957">
        <f t="shared" si="624"/>
        <v>3.8541666666666665</v>
      </c>
      <c r="BH284" s="957">
        <f t="shared" si="624"/>
        <v>3.8541666666666665</v>
      </c>
      <c r="BI284" s="957">
        <f t="shared" si="624"/>
        <v>0.39466666666666667</v>
      </c>
      <c r="BJ284" s="957">
        <f t="shared" si="624"/>
        <v>0</v>
      </c>
      <c r="BK284" s="957">
        <f t="shared" si="624"/>
        <v>0</v>
      </c>
      <c r="BL284" s="948">
        <f t="shared" si="625"/>
        <v>164.765625</v>
      </c>
      <c r="BM284" s="948">
        <f t="shared" si="625"/>
        <v>109.84375</v>
      </c>
      <c r="BN284" s="948">
        <f t="shared" si="625"/>
        <v>120.24999999999999</v>
      </c>
      <c r="BO284" s="948">
        <f t="shared" si="625"/>
        <v>120.24999999999999</v>
      </c>
      <c r="BP284" s="948">
        <f t="shared" si="625"/>
        <v>164.765625</v>
      </c>
      <c r="BQ284" s="948">
        <f t="shared" si="625"/>
        <v>109.84375</v>
      </c>
      <c r="BR284" s="948">
        <f t="shared" si="625"/>
        <v>89.551445333333334</v>
      </c>
      <c r="BS284" s="948">
        <f t="shared" si="626"/>
        <v>0</v>
      </c>
      <c r="BT284" s="955">
        <f t="shared" si="627"/>
        <v>360.94835604816637</v>
      </c>
    </row>
    <row r="285" spans="1:72">
      <c r="A285" s="952">
        <v>7</v>
      </c>
      <c r="B285" s="952" t="s">
        <v>1177</v>
      </c>
      <c r="C285" s="950" t="s">
        <v>1099</v>
      </c>
      <c r="D285" s="950">
        <v>1</v>
      </c>
      <c r="E285" s="950">
        <v>1</v>
      </c>
      <c r="F285" s="948">
        <v>4.75</v>
      </c>
      <c r="G285" s="948">
        <v>0.25</v>
      </c>
      <c r="H285" s="948">
        <v>0.6</v>
      </c>
      <c r="I285" s="948">
        <v>0.12</v>
      </c>
      <c r="J285" s="948">
        <v>0.48</v>
      </c>
      <c r="K285" s="948">
        <v>0.64800000000000002</v>
      </c>
      <c r="L285" s="948">
        <v>5.1840000000000002</v>
      </c>
      <c r="M285" s="952"/>
      <c r="N285" s="950">
        <v>16</v>
      </c>
      <c r="O285" s="950">
        <v>16</v>
      </c>
      <c r="P285" s="950">
        <v>16</v>
      </c>
      <c r="Q285" s="950">
        <v>16</v>
      </c>
      <c r="R285" s="950">
        <v>16</v>
      </c>
      <c r="S285" s="950">
        <v>16</v>
      </c>
      <c r="T285" s="950">
        <v>8</v>
      </c>
      <c r="U285" s="950"/>
      <c r="V285" s="950"/>
      <c r="W285" s="950">
        <v>200</v>
      </c>
      <c r="X285" s="950">
        <v>100</v>
      </c>
      <c r="Y285" s="950">
        <v>100</v>
      </c>
      <c r="Z285" s="950">
        <v>9</v>
      </c>
      <c r="AA285" s="950">
        <v>6</v>
      </c>
      <c r="AB285" s="950">
        <v>4</v>
      </c>
      <c r="AC285" s="950">
        <v>4</v>
      </c>
      <c r="AD285" s="950">
        <v>9</v>
      </c>
      <c r="AE285" s="950">
        <v>6</v>
      </c>
      <c r="AF285" s="955">
        <v>7.75</v>
      </c>
      <c r="AG285" s="955">
        <v>28</v>
      </c>
      <c r="AH285" s="955">
        <v>14.5</v>
      </c>
      <c r="AI285" s="955">
        <v>0</v>
      </c>
      <c r="AJ285" s="955">
        <v>0</v>
      </c>
      <c r="AK285" s="948">
        <v>2.1500000000000004</v>
      </c>
      <c r="AL285" s="948">
        <v>2.1500000000000004</v>
      </c>
      <c r="AM285" s="948">
        <v>3.2120000000000002</v>
      </c>
      <c r="AN285" s="948">
        <v>3.2120000000000002</v>
      </c>
      <c r="AO285" s="948">
        <v>2.1500000000000004</v>
      </c>
      <c r="AP285" s="948">
        <v>2.1500000000000004</v>
      </c>
      <c r="AQ285" s="948">
        <v>1.508</v>
      </c>
      <c r="AR285" s="948">
        <v>0</v>
      </c>
      <c r="AS285" s="948">
        <v>0</v>
      </c>
      <c r="AT285" s="948">
        <v>19.350000000000001</v>
      </c>
      <c r="AU285" s="948">
        <v>12.900000000000002</v>
      </c>
      <c r="AV285" s="948">
        <v>12.848000000000001</v>
      </c>
      <c r="AW285" s="948">
        <v>12.848000000000001</v>
      </c>
      <c r="AX285" s="948">
        <v>19.350000000000001</v>
      </c>
      <c r="AY285" s="948">
        <v>12.900000000000002</v>
      </c>
      <c r="AZ285" s="948">
        <v>75.777000000000001</v>
      </c>
      <c r="BA285" s="948">
        <v>0</v>
      </c>
      <c r="BB285" s="948">
        <v>0</v>
      </c>
      <c r="BC285" s="957">
        <v>1.5786666666666667</v>
      </c>
      <c r="BD285" s="957">
        <v>1.5786666666666667</v>
      </c>
      <c r="BE285" s="957">
        <v>1.5786666666666667</v>
      </c>
      <c r="BF285" s="957">
        <v>1.5786666666666667</v>
      </c>
      <c r="BG285" s="957">
        <v>1.5786666666666667</v>
      </c>
      <c r="BH285" s="957">
        <v>1.5786666666666667</v>
      </c>
      <c r="BI285" s="957">
        <v>0.39466666666666667</v>
      </c>
      <c r="BJ285" s="957">
        <v>0</v>
      </c>
      <c r="BK285" s="957">
        <v>0</v>
      </c>
      <c r="BL285" s="948">
        <v>30.547200000000004</v>
      </c>
      <c r="BM285" s="948">
        <v>20.364800000000002</v>
      </c>
      <c r="BN285" s="948">
        <v>20.282709333333333</v>
      </c>
      <c r="BO285" s="948">
        <v>20.282709333333333</v>
      </c>
      <c r="BP285" s="948">
        <v>30.547200000000004</v>
      </c>
      <c r="BQ285" s="948">
        <v>20.364800000000002</v>
      </c>
      <c r="BR285" s="948">
        <v>29.906656000000002</v>
      </c>
      <c r="BS285" s="948">
        <v>0</v>
      </c>
      <c r="BT285" s="955">
        <v>265.88900411522633</v>
      </c>
    </row>
    <row r="286" spans="1:72">
      <c r="A286" s="952">
        <v>8</v>
      </c>
      <c r="B286" s="952" t="s">
        <v>1179</v>
      </c>
      <c r="C286" s="950" t="s">
        <v>1125</v>
      </c>
      <c r="D286" s="950">
        <v>1</v>
      </c>
      <c r="E286" s="950">
        <v>1</v>
      </c>
      <c r="F286" s="948">
        <v>8</v>
      </c>
      <c r="G286" s="948">
        <v>0.3</v>
      </c>
      <c r="H286" s="948">
        <v>0.65</v>
      </c>
      <c r="I286" s="948">
        <v>0.12</v>
      </c>
      <c r="J286" s="948">
        <f t="shared" ref="J286:J289" si="630">H286-I286</f>
        <v>0.53</v>
      </c>
      <c r="K286" s="948">
        <f t="shared" ref="K286:K289" si="631">F286*G286*J286*D286*E286</f>
        <v>1.272</v>
      </c>
      <c r="L286" s="948">
        <f t="shared" ref="L286:L289" si="632">(2*J286)*F286*E286*D286</f>
        <v>8.48</v>
      </c>
      <c r="M286" s="952"/>
      <c r="N286" s="950">
        <v>16</v>
      </c>
      <c r="O286" s="950">
        <v>16</v>
      </c>
      <c r="P286" s="950">
        <v>16</v>
      </c>
      <c r="Q286" s="950">
        <v>16</v>
      </c>
      <c r="R286" s="950">
        <v>16</v>
      </c>
      <c r="S286" s="950">
        <v>16</v>
      </c>
      <c r="T286" s="950">
        <v>8</v>
      </c>
      <c r="U286" s="950"/>
      <c r="V286" s="950"/>
      <c r="W286" s="950">
        <v>200</v>
      </c>
      <c r="X286" s="950">
        <v>100</v>
      </c>
      <c r="Y286" s="950">
        <v>100</v>
      </c>
      <c r="Z286" s="950">
        <v>9</v>
      </c>
      <c r="AA286" s="950">
        <v>6</v>
      </c>
      <c r="AB286" s="950">
        <v>4</v>
      </c>
      <c r="AC286" s="950">
        <v>4</v>
      </c>
      <c r="AD286" s="950">
        <v>9</v>
      </c>
      <c r="AE286" s="950">
        <v>6</v>
      </c>
      <c r="AF286" s="955">
        <f t="shared" ref="AF286:AF289" si="633">(F286/4)/(W286/1000)+1</f>
        <v>11</v>
      </c>
      <c r="AG286" s="955">
        <f t="shared" ref="AG286:AG289" si="634">(F286/2)/(X286/1000)+1</f>
        <v>41</v>
      </c>
      <c r="AH286" s="955">
        <f t="shared" ref="AH286:AH289" si="635">(F286/4)/(Y286/1000)+1</f>
        <v>21</v>
      </c>
      <c r="AI286" s="955">
        <v>0</v>
      </c>
      <c r="AJ286" s="955">
        <v>0</v>
      </c>
      <c r="AK286" s="948">
        <f t="shared" ref="AK286:AK289" si="636">(F286/4)+(20*N286/1000)+(10*N286/1000)+(8*N286/1000)+(6*2*N286/1000)</f>
        <v>2.8000000000000003</v>
      </c>
      <c r="AL286" s="948">
        <f t="shared" ref="AL286:AL289" si="637">(F286/4)+(20*O286/1000)+(10*O286/1000)+(8*O286/1000)+(6*2*O286/1000)</f>
        <v>2.8000000000000003</v>
      </c>
      <c r="AM286" s="948">
        <f t="shared" ref="AM286:AM289" si="638">(F286/2)+(20*P286/1000)+(6*2*P286/1000)</f>
        <v>4.5120000000000005</v>
      </c>
      <c r="AN286" s="948">
        <f t="shared" ref="AN286:AN289" si="639">(F286/2)+(20*Q286/1000)+(6*2*Q286/1000)</f>
        <v>4.5120000000000005</v>
      </c>
      <c r="AO286" s="948">
        <f t="shared" ref="AO286:AO289" si="640">(F286/4)+(20*R286/1000)+(10*R286/1000)+(8*R286/1000)+(6*2*R286/1000)</f>
        <v>2.8000000000000003</v>
      </c>
      <c r="AP286" s="948">
        <f t="shared" ref="AP286:AP289" si="641">(F286/4)+(20*S286/1000)+(10*S286/1000)+(8*S286/1000)+(6*2*S286/1000)</f>
        <v>2.8000000000000003</v>
      </c>
      <c r="AQ286" s="948">
        <f t="shared" ref="AQ286:AQ289" si="642">(2*G286)+(2*H286)+(6*T286/1000)-(8*0.03)</f>
        <v>1.708</v>
      </c>
      <c r="AR286" s="948">
        <f t="shared" ref="AR286:AR289" si="643">((H286)+(2*6*U286/1000)-(2*0.03))*AI286</f>
        <v>0</v>
      </c>
      <c r="AS286" s="948">
        <f t="shared" ref="AS286:AS289" si="644">((G286)+(2*6*V286/1000)-(2*0.03))*AJ286</f>
        <v>0</v>
      </c>
      <c r="AT286" s="948">
        <f t="shared" ref="AT286:AT289" si="645">AK286*Z286*E286*D286</f>
        <v>25.200000000000003</v>
      </c>
      <c r="AU286" s="948">
        <f t="shared" ref="AU286:AU289" si="646">AL286*AA286*E286*D286</f>
        <v>16.8</v>
      </c>
      <c r="AV286" s="948">
        <f t="shared" ref="AV286:AV289" si="647">AM286*AB286*E286*D286</f>
        <v>18.048000000000002</v>
      </c>
      <c r="AW286" s="948">
        <f t="shared" ref="AW286:AW289" si="648">AN286*AC286*E286*D286</f>
        <v>18.048000000000002</v>
      </c>
      <c r="AX286" s="948">
        <f t="shared" ref="AX286:AX289" si="649">AO286*AD286*E286*D286</f>
        <v>25.200000000000003</v>
      </c>
      <c r="AY286" s="948">
        <f t="shared" ref="AY286:AY289" si="650">AP286*AE286*E286*D286</f>
        <v>16.8</v>
      </c>
      <c r="AZ286" s="948">
        <f t="shared" ref="AZ286:AZ289" si="651">AQ286*(AF286+AG286+AH286)*E286*D286</f>
        <v>124.684</v>
      </c>
      <c r="BA286" s="948">
        <f t="shared" ref="BA286:BA289" si="652">AR286*(AF286+AG286+AH286)*E286*D286</f>
        <v>0</v>
      </c>
      <c r="BB286" s="948">
        <f t="shared" ref="BB286:BB289" si="653">AS286*(AF286+AG286+AH286)*E286*D286</f>
        <v>0</v>
      </c>
      <c r="BC286" s="957">
        <f t="shared" ref="BC286:BK289" si="654">N286*N286*0.074/12</f>
        <v>1.5786666666666667</v>
      </c>
      <c r="BD286" s="957">
        <f t="shared" si="654"/>
        <v>1.5786666666666667</v>
      </c>
      <c r="BE286" s="957">
        <f t="shared" si="654"/>
        <v>1.5786666666666667</v>
      </c>
      <c r="BF286" s="957">
        <f t="shared" si="654"/>
        <v>1.5786666666666667</v>
      </c>
      <c r="BG286" s="957">
        <f t="shared" si="654"/>
        <v>1.5786666666666667</v>
      </c>
      <c r="BH286" s="957">
        <f t="shared" si="654"/>
        <v>1.5786666666666667</v>
      </c>
      <c r="BI286" s="957">
        <f t="shared" si="654"/>
        <v>0.39466666666666667</v>
      </c>
      <c r="BJ286" s="957">
        <f t="shared" si="654"/>
        <v>0</v>
      </c>
      <c r="BK286" s="957">
        <f t="shared" si="654"/>
        <v>0</v>
      </c>
      <c r="BL286" s="948">
        <f t="shared" ref="BL286:BR289" si="655">AT286*BC286</f>
        <v>39.782400000000003</v>
      </c>
      <c r="BM286" s="948">
        <f t="shared" si="655"/>
        <v>26.521599999999999</v>
      </c>
      <c r="BN286" s="948">
        <f t="shared" si="655"/>
        <v>28.491776000000002</v>
      </c>
      <c r="BO286" s="948">
        <f t="shared" si="655"/>
        <v>28.491776000000002</v>
      </c>
      <c r="BP286" s="948">
        <f t="shared" si="655"/>
        <v>39.782400000000003</v>
      </c>
      <c r="BQ286" s="948">
        <f t="shared" si="655"/>
        <v>26.521599999999999</v>
      </c>
      <c r="BR286" s="948">
        <f t="shared" si="655"/>
        <v>49.208618666666666</v>
      </c>
      <c r="BS286" s="948">
        <f>BB286*BK286</f>
        <v>0</v>
      </c>
      <c r="BT286" s="955">
        <f>SUM(BL286:BS286)/K286</f>
        <v>187.73598322851154</v>
      </c>
    </row>
    <row r="287" spans="1:72">
      <c r="A287" s="952">
        <v>9</v>
      </c>
      <c r="B287" s="952" t="s">
        <v>1180</v>
      </c>
      <c r="C287" s="950" t="s">
        <v>1127</v>
      </c>
      <c r="D287" s="950">
        <v>1</v>
      </c>
      <c r="E287" s="950">
        <v>1</v>
      </c>
      <c r="F287" s="948">
        <v>8.4</v>
      </c>
      <c r="G287" s="948">
        <v>0.3</v>
      </c>
      <c r="H287" s="948">
        <v>0.65</v>
      </c>
      <c r="I287" s="948">
        <v>0.12</v>
      </c>
      <c r="J287" s="948">
        <f t="shared" si="630"/>
        <v>0.53</v>
      </c>
      <c r="K287" s="948">
        <f t="shared" si="631"/>
        <v>1.3356000000000001</v>
      </c>
      <c r="L287" s="948">
        <f t="shared" si="632"/>
        <v>8.9040000000000017</v>
      </c>
      <c r="M287" s="952"/>
      <c r="N287" s="950">
        <v>16</v>
      </c>
      <c r="O287" s="950">
        <v>16</v>
      </c>
      <c r="P287" s="950">
        <v>16</v>
      </c>
      <c r="Q287" s="950">
        <v>16</v>
      </c>
      <c r="R287" s="950">
        <v>16</v>
      </c>
      <c r="S287" s="950">
        <v>16</v>
      </c>
      <c r="T287" s="950">
        <v>8</v>
      </c>
      <c r="U287" s="950"/>
      <c r="V287" s="950"/>
      <c r="W287" s="950">
        <v>200</v>
      </c>
      <c r="X287" s="950">
        <v>100</v>
      </c>
      <c r="Y287" s="950">
        <v>100</v>
      </c>
      <c r="Z287" s="950">
        <v>9</v>
      </c>
      <c r="AA287" s="950">
        <v>6</v>
      </c>
      <c r="AB287" s="950">
        <v>4</v>
      </c>
      <c r="AC287" s="950">
        <v>4</v>
      </c>
      <c r="AD287" s="950">
        <v>9</v>
      </c>
      <c r="AE287" s="950">
        <v>6</v>
      </c>
      <c r="AF287" s="955">
        <f t="shared" si="633"/>
        <v>11.5</v>
      </c>
      <c r="AG287" s="955">
        <f t="shared" si="634"/>
        <v>43</v>
      </c>
      <c r="AH287" s="955">
        <f t="shared" si="635"/>
        <v>22</v>
      </c>
      <c r="AI287" s="955">
        <v>0</v>
      </c>
      <c r="AJ287" s="955">
        <v>0</v>
      </c>
      <c r="AK287" s="948">
        <f t="shared" si="636"/>
        <v>2.9000000000000004</v>
      </c>
      <c r="AL287" s="948">
        <f t="shared" si="637"/>
        <v>2.9000000000000004</v>
      </c>
      <c r="AM287" s="948">
        <f t="shared" si="638"/>
        <v>4.7120000000000006</v>
      </c>
      <c r="AN287" s="948">
        <f t="shared" si="639"/>
        <v>4.7120000000000006</v>
      </c>
      <c r="AO287" s="948">
        <f t="shared" si="640"/>
        <v>2.9000000000000004</v>
      </c>
      <c r="AP287" s="948">
        <f t="shared" si="641"/>
        <v>2.9000000000000004</v>
      </c>
      <c r="AQ287" s="948">
        <f t="shared" si="642"/>
        <v>1.708</v>
      </c>
      <c r="AR287" s="948">
        <f t="shared" si="643"/>
        <v>0</v>
      </c>
      <c r="AS287" s="948">
        <f t="shared" si="644"/>
        <v>0</v>
      </c>
      <c r="AT287" s="948">
        <f t="shared" si="645"/>
        <v>26.1</v>
      </c>
      <c r="AU287" s="948">
        <f t="shared" si="646"/>
        <v>17.400000000000002</v>
      </c>
      <c r="AV287" s="948">
        <f t="shared" si="647"/>
        <v>18.848000000000003</v>
      </c>
      <c r="AW287" s="948">
        <f t="shared" si="648"/>
        <v>18.848000000000003</v>
      </c>
      <c r="AX287" s="948">
        <f t="shared" si="649"/>
        <v>26.1</v>
      </c>
      <c r="AY287" s="948">
        <f t="shared" si="650"/>
        <v>17.400000000000002</v>
      </c>
      <c r="AZ287" s="948">
        <f t="shared" si="651"/>
        <v>130.66200000000001</v>
      </c>
      <c r="BA287" s="948">
        <f t="shared" si="652"/>
        <v>0</v>
      </c>
      <c r="BB287" s="948">
        <f t="shared" si="653"/>
        <v>0</v>
      </c>
      <c r="BC287" s="957">
        <f t="shared" si="654"/>
        <v>1.5786666666666667</v>
      </c>
      <c r="BD287" s="957">
        <f t="shared" si="654"/>
        <v>1.5786666666666667</v>
      </c>
      <c r="BE287" s="957">
        <f t="shared" si="654"/>
        <v>1.5786666666666667</v>
      </c>
      <c r="BF287" s="957">
        <f t="shared" si="654"/>
        <v>1.5786666666666667</v>
      </c>
      <c r="BG287" s="957">
        <f t="shared" si="654"/>
        <v>1.5786666666666667</v>
      </c>
      <c r="BH287" s="957">
        <f t="shared" si="654"/>
        <v>1.5786666666666667</v>
      </c>
      <c r="BI287" s="957">
        <f t="shared" si="654"/>
        <v>0.39466666666666667</v>
      </c>
      <c r="BJ287" s="957">
        <f t="shared" si="654"/>
        <v>0</v>
      </c>
      <c r="BK287" s="957">
        <f t="shared" si="654"/>
        <v>0</v>
      </c>
      <c r="BL287" s="948">
        <f t="shared" si="655"/>
        <v>41.203200000000002</v>
      </c>
      <c r="BM287" s="948">
        <f t="shared" si="655"/>
        <v>27.468800000000002</v>
      </c>
      <c r="BN287" s="948">
        <f t="shared" si="655"/>
        <v>29.754709333333338</v>
      </c>
      <c r="BO287" s="948">
        <f t="shared" si="655"/>
        <v>29.754709333333338</v>
      </c>
      <c r="BP287" s="948">
        <f t="shared" si="655"/>
        <v>41.203200000000002</v>
      </c>
      <c r="BQ287" s="948">
        <f t="shared" si="655"/>
        <v>27.468800000000002</v>
      </c>
      <c r="BR287" s="948">
        <f t="shared" si="655"/>
        <v>51.567936000000003</v>
      </c>
      <c r="BS287" s="948">
        <f>BB287*BK287</f>
        <v>0</v>
      </c>
      <c r="BT287" s="955">
        <f>SUM(BL287:BS287)/K287</f>
        <v>185.99981631226916</v>
      </c>
    </row>
    <row r="288" spans="1:72">
      <c r="A288" s="952">
        <v>10</v>
      </c>
      <c r="B288" s="952" t="s">
        <v>1194</v>
      </c>
      <c r="C288" s="950" t="s">
        <v>1195</v>
      </c>
      <c r="D288" s="950">
        <v>1</v>
      </c>
      <c r="E288" s="950">
        <v>1</v>
      </c>
      <c r="F288" s="948">
        <v>12</v>
      </c>
      <c r="G288" s="948">
        <v>0.35</v>
      </c>
      <c r="H288" s="948">
        <v>0.8</v>
      </c>
      <c r="I288" s="948">
        <v>0.12</v>
      </c>
      <c r="J288" s="948">
        <f t="shared" si="630"/>
        <v>0.68</v>
      </c>
      <c r="K288" s="948">
        <f t="shared" si="631"/>
        <v>2.8559999999999999</v>
      </c>
      <c r="L288" s="948">
        <f t="shared" si="632"/>
        <v>16.32</v>
      </c>
      <c r="M288" s="952"/>
      <c r="N288" s="950">
        <v>25</v>
      </c>
      <c r="O288" s="950">
        <v>25</v>
      </c>
      <c r="P288" s="950">
        <v>25</v>
      </c>
      <c r="Q288" s="950">
        <v>25</v>
      </c>
      <c r="R288" s="950">
        <v>25</v>
      </c>
      <c r="S288" s="950">
        <v>25</v>
      </c>
      <c r="T288" s="950">
        <v>8</v>
      </c>
      <c r="U288" s="950"/>
      <c r="V288" s="950"/>
      <c r="W288" s="950">
        <v>200</v>
      </c>
      <c r="X288" s="950">
        <v>100</v>
      </c>
      <c r="Y288" s="950">
        <v>100</v>
      </c>
      <c r="Z288" s="950">
        <v>9</v>
      </c>
      <c r="AA288" s="950">
        <v>6</v>
      </c>
      <c r="AB288" s="950">
        <v>4</v>
      </c>
      <c r="AC288" s="950">
        <v>4</v>
      </c>
      <c r="AD288" s="950">
        <v>9</v>
      </c>
      <c r="AE288" s="950">
        <v>6</v>
      </c>
      <c r="AF288" s="955">
        <f t="shared" si="633"/>
        <v>16</v>
      </c>
      <c r="AG288" s="955">
        <f t="shared" si="634"/>
        <v>61</v>
      </c>
      <c r="AH288" s="955">
        <f t="shared" si="635"/>
        <v>31</v>
      </c>
      <c r="AI288" s="955">
        <v>0</v>
      </c>
      <c r="AJ288" s="955">
        <v>0</v>
      </c>
      <c r="AK288" s="948">
        <f t="shared" si="636"/>
        <v>4.25</v>
      </c>
      <c r="AL288" s="948">
        <f t="shared" si="637"/>
        <v>4.25</v>
      </c>
      <c r="AM288" s="948">
        <f t="shared" si="638"/>
        <v>6.8</v>
      </c>
      <c r="AN288" s="948">
        <f t="shared" si="639"/>
        <v>6.8</v>
      </c>
      <c r="AO288" s="948">
        <f t="shared" si="640"/>
        <v>4.25</v>
      </c>
      <c r="AP288" s="948">
        <f t="shared" si="641"/>
        <v>4.25</v>
      </c>
      <c r="AQ288" s="948">
        <f t="shared" si="642"/>
        <v>2.1079999999999997</v>
      </c>
      <c r="AR288" s="948">
        <f t="shared" si="643"/>
        <v>0</v>
      </c>
      <c r="AS288" s="948">
        <f t="shared" si="644"/>
        <v>0</v>
      </c>
      <c r="AT288" s="948">
        <f t="shared" si="645"/>
        <v>38.25</v>
      </c>
      <c r="AU288" s="948">
        <f t="shared" si="646"/>
        <v>25.5</v>
      </c>
      <c r="AV288" s="948">
        <f t="shared" si="647"/>
        <v>27.2</v>
      </c>
      <c r="AW288" s="948">
        <f t="shared" si="648"/>
        <v>27.2</v>
      </c>
      <c r="AX288" s="948">
        <f t="shared" si="649"/>
        <v>38.25</v>
      </c>
      <c r="AY288" s="948">
        <f t="shared" si="650"/>
        <v>25.5</v>
      </c>
      <c r="AZ288" s="948">
        <f t="shared" si="651"/>
        <v>227.66399999999996</v>
      </c>
      <c r="BA288" s="948">
        <f t="shared" si="652"/>
        <v>0</v>
      </c>
      <c r="BB288" s="948">
        <f t="shared" si="653"/>
        <v>0</v>
      </c>
      <c r="BC288" s="957">
        <f t="shared" si="654"/>
        <v>3.8541666666666665</v>
      </c>
      <c r="BD288" s="957">
        <f t="shared" si="654"/>
        <v>3.8541666666666665</v>
      </c>
      <c r="BE288" s="957">
        <f t="shared" si="654"/>
        <v>3.8541666666666665</v>
      </c>
      <c r="BF288" s="957">
        <f t="shared" si="654"/>
        <v>3.8541666666666665</v>
      </c>
      <c r="BG288" s="957">
        <f t="shared" si="654"/>
        <v>3.8541666666666665</v>
      </c>
      <c r="BH288" s="957">
        <f t="shared" si="654"/>
        <v>3.8541666666666665</v>
      </c>
      <c r="BI288" s="957">
        <f t="shared" si="654"/>
        <v>0.39466666666666667</v>
      </c>
      <c r="BJ288" s="957">
        <f t="shared" si="654"/>
        <v>0</v>
      </c>
      <c r="BK288" s="957">
        <f t="shared" si="654"/>
        <v>0</v>
      </c>
      <c r="BL288" s="948">
        <f t="shared" si="655"/>
        <v>147.421875</v>
      </c>
      <c r="BM288" s="948">
        <f t="shared" si="655"/>
        <v>98.28125</v>
      </c>
      <c r="BN288" s="948">
        <f t="shared" si="655"/>
        <v>104.83333333333333</v>
      </c>
      <c r="BO288" s="948">
        <f t="shared" si="655"/>
        <v>104.83333333333333</v>
      </c>
      <c r="BP288" s="948">
        <f t="shared" si="655"/>
        <v>147.421875</v>
      </c>
      <c r="BQ288" s="948">
        <f t="shared" si="655"/>
        <v>98.28125</v>
      </c>
      <c r="BR288" s="948">
        <f t="shared" si="655"/>
        <v>89.85139199999999</v>
      </c>
      <c r="BS288" s="948">
        <f>BB288*BK288</f>
        <v>0</v>
      </c>
      <c r="BT288" s="955">
        <f>SUM(BL288:BS288)/K288</f>
        <v>276.93428174603173</v>
      </c>
    </row>
    <row r="289" spans="1:72">
      <c r="A289" s="952">
        <v>11</v>
      </c>
      <c r="B289" s="952" t="s">
        <v>1196</v>
      </c>
      <c r="C289" s="950" t="s">
        <v>1197</v>
      </c>
      <c r="D289" s="950">
        <v>1</v>
      </c>
      <c r="E289" s="950">
        <v>1</v>
      </c>
      <c r="F289" s="948">
        <v>16</v>
      </c>
      <c r="G289" s="948">
        <v>0.3</v>
      </c>
      <c r="H289" s="948">
        <v>0.7</v>
      </c>
      <c r="I289" s="948">
        <v>0.12</v>
      </c>
      <c r="J289" s="948">
        <f t="shared" si="630"/>
        <v>0.57999999999999996</v>
      </c>
      <c r="K289" s="948">
        <f t="shared" si="631"/>
        <v>2.7839999999999998</v>
      </c>
      <c r="L289" s="948">
        <f t="shared" si="632"/>
        <v>18.559999999999999</v>
      </c>
      <c r="M289" s="952"/>
      <c r="N289" s="950">
        <v>16</v>
      </c>
      <c r="O289" s="950">
        <v>16</v>
      </c>
      <c r="P289" s="950">
        <v>16</v>
      </c>
      <c r="Q289" s="950">
        <v>16</v>
      </c>
      <c r="R289" s="950">
        <v>16</v>
      </c>
      <c r="S289" s="950">
        <v>16</v>
      </c>
      <c r="T289" s="950">
        <v>8</v>
      </c>
      <c r="U289" s="950"/>
      <c r="V289" s="950"/>
      <c r="W289" s="950">
        <v>200</v>
      </c>
      <c r="X289" s="950">
        <v>100</v>
      </c>
      <c r="Y289" s="950">
        <v>100</v>
      </c>
      <c r="Z289" s="950">
        <v>9</v>
      </c>
      <c r="AA289" s="950">
        <v>6</v>
      </c>
      <c r="AB289" s="950">
        <v>4</v>
      </c>
      <c r="AC289" s="950">
        <v>4</v>
      </c>
      <c r="AD289" s="950">
        <v>9</v>
      </c>
      <c r="AE289" s="950">
        <v>6</v>
      </c>
      <c r="AF289" s="955">
        <f t="shared" si="633"/>
        <v>21</v>
      </c>
      <c r="AG289" s="955">
        <f t="shared" si="634"/>
        <v>81</v>
      </c>
      <c r="AH289" s="955">
        <f t="shared" si="635"/>
        <v>41</v>
      </c>
      <c r="AI289" s="955">
        <v>0</v>
      </c>
      <c r="AJ289" s="955">
        <v>0</v>
      </c>
      <c r="AK289" s="948">
        <f t="shared" si="636"/>
        <v>4.8000000000000007</v>
      </c>
      <c r="AL289" s="948">
        <f t="shared" si="637"/>
        <v>4.8000000000000007</v>
      </c>
      <c r="AM289" s="948">
        <f t="shared" si="638"/>
        <v>8.5120000000000005</v>
      </c>
      <c r="AN289" s="948">
        <f t="shared" si="639"/>
        <v>8.5120000000000005</v>
      </c>
      <c r="AO289" s="948">
        <f t="shared" si="640"/>
        <v>4.8000000000000007</v>
      </c>
      <c r="AP289" s="948">
        <f t="shared" si="641"/>
        <v>4.8000000000000007</v>
      </c>
      <c r="AQ289" s="948">
        <f t="shared" si="642"/>
        <v>1.8080000000000001</v>
      </c>
      <c r="AR289" s="948">
        <f t="shared" si="643"/>
        <v>0</v>
      </c>
      <c r="AS289" s="948">
        <f t="shared" si="644"/>
        <v>0</v>
      </c>
      <c r="AT289" s="948">
        <f t="shared" si="645"/>
        <v>43.2</v>
      </c>
      <c r="AU289" s="948">
        <f t="shared" si="646"/>
        <v>28.800000000000004</v>
      </c>
      <c r="AV289" s="948">
        <f t="shared" si="647"/>
        <v>34.048000000000002</v>
      </c>
      <c r="AW289" s="948">
        <f t="shared" si="648"/>
        <v>34.048000000000002</v>
      </c>
      <c r="AX289" s="948">
        <f t="shared" si="649"/>
        <v>43.2</v>
      </c>
      <c r="AY289" s="948">
        <f t="shared" si="650"/>
        <v>28.800000000000004</v>
      </c>
      <c r="AZ289" s="948">
        <f t="shared" si="651"/>
        <v>258.54399999999998</v>
      </c>
      <c r="BA289" s="948">
        <f t="shared" si="652"/>
        <v>0</v>
      </c>
      <c r="BB289" s="948">
        <f t="shared" si="653"/>
        <v>0</v>
      </c>
      <c r="BC289" s="957">
        <f t="shared" si="654"/>
        <v>1.5786666666666667</v>
      </c>
      <c r="BD289" s="957">
        <f t="shared" si="654"/>
        <v>1.5786666666666667</v>
      </c>
      <c r="BE289" s="957">
        <f t="shared" si="654"/>
        <v>1.5786666666666667</v>
      </c>
      <c r="BF289" s="957">
        <f t="shared" si="654"/>
        <v>1.5786666666666667</v>
      </c>
      <c r="BG289" s="957">
        <f t="shared" si="654"/>
        <v>1.5786666666666667</v>
      </c>
      <c r="BH289" s="957">
        <f t="shared" si="654"/>
        <v>1.5786666666666667</v>
      </c>
      <c r="BI289" s="957">
        <f t="shared" si="654"/>
        <v>0.39466666666666667</v>
      </c>
      <c r="BJ289" s="957">
        <f t="shared" si="654"/>
        <v>0</v>
      </c>
      <c r="BK289" s="957">
        <f t="shared" si="654"/>
        <v>0</v>
      </c>
      <c r="BL289" s="948">
        <f t="shared" si="655"/>
        <v>68.198400000000007</v>
      </c>
      <c r="BM289" s="948">
        <f t="shared" si="655"/>
        <v>45.465600000000009</v>
      </c>
      <c r="BN289" s="948">
        <f t="shared" si="655"/>
        <v>53.750442666666672</v>
      </c>
      <c r="BO289" s="948">
        <f t="shared" si="655"/>
        <v>53.750442666666672</v>
      </c>
      <c r="BP289" s="948">
        <f t="shared" si="655"/>
        <v>68.198400000000007</v>
      </c>
      <c r="BQ289" s="948">
        <f t="shared" si="655"/>
        <v>45.465600000000009</v>
      </c>
      <c r="BR289" s="948">
        <f t="shared" si="655"/>
        <v>102.03869866666666</v>
      </c>
      <c r="BS289" s="948">
        <f>BB289*BK289</f>
        <v>0</v>
      </c>
      <c r="BT289" s="955">
        <f>SUM(BL289:BS289)/K289</f>
        <v>156.92082758620691</v>
      </c>
    </row>
    <row r="290" spans="1:72">
      <c r="A290" s="952"/>
      <c r="B290" s="952"/>
      <c r="C290" s="950"/>
      <c r="D290" s="950"/>
      <c r="E290" s="950"/>
      <c r="F290" s="948"/>
      <c r="G290" s="948"/>
      <c r="H290" s="948"/>
      <c r="I290" s="948"/>
      <c r="J290" s="948"/>
      <c r="K290" s="948">
        <f>SUM(K271:K289)</f>
        <v>68.524200000000022</v>
      </c>
      <c r="L290" s="948">
        <f>SUM(L271:L289)</f>
        <v>484.51200000000006</v>
      </c>
      <c r="M290" s="952"/>
      <c r="N290" s="950"/>
      <c r="O290" s="950"/>
      <c r="P290" s="950"/>
      <c r="Q290" s="950"/>
      <c r="R290" s="950"/>
      <c r="S290" s="950"/>
      <c r="T290" s="950"/>
      <c r="U290" s="950"/>
      <c r="V290" s="950"/>
      <c r="W290" s="950"/>
      <c r="X290" s="950"/>
      <c r="Y290" s="950"/>
      <c r="Z290" s="950"/>
      <c r="AA290" s="950"/>
      <c r="AB290" s="950"/>
      <c r="AC290" s="950"/>
      <c r="AD290" s="950"/>
      <c r="AE290" s="950"/>
      <c r="AF290" s="955"/>
      <c r="AG290" s="955"/>
      <c r="AH290" s="955"/>
      <c r="AI290" s="955"/>
      <c r="AJ290" s="955"/>
      <c r="AK290" s="948"/>
      <c r="AL290" s="948"/>
      <c r="AM290" s="948"/>
      <c r="AN290" s="948"/>
      <c r="AO290" s="948"/>
      <c r="AP290" s="948"/>
      <c r="AQ290" s="948"/>
      <c r="AR290" s="948"/>
      <c r="AS290" s="948"/>
      <c r="AT290" s="948"/>
      <c r="AU290" s="948"/>
      <c r="AV290" s="948"/>
      <c r="AW290" s="948"/>
      <c r="AX290" s="948"/>
      <c r="AY290" s="948"/>
      <c r="AZ290" s="948"/>
      <c r="BA290" s="948"/>
      <c r="BB290" s="948"/>
      <c r="BC290" s="957"/>
      <c r="BD290" s="957"/>
      <c r="BE290" s="957"/>
      <c r="BF290" s="957"/>
      <c r="BG290" s="957"/>
      <c r="BH290" s="957"/>
      <c r="BI290" s="957"/>
      <c r="BJ290" s="957"/>
      <c r="BK290" s="957"/>
      <c r="BL290" s="948"/>
      <c r="BM290" s="948"/>
      <c r="BN290" s="948"/>
      <c r="BO290" s="948"/>
      <c r="BP290" s="948"/>
      <c r="BQ290" s="948"/>
      <c r="BR290" s="948"/>
      <c r="BS290" s="948"/>
      <c r="BT290" s="955"/>
    </row>
    <row r="291" spans="1:72">
      <c r="A291" s="949" t="s">
        <v>66</v>
      </c>
      <c r="B291" s="949" t="s">
        <v>1050</v>
      </c>
      <c r="C291" s="949" t="s">
        <v>983</v>
      </c>
      <c r="D291" s="950" t="s">
        <v>1051</v>
      </c>
      <c r="E291" s="950" t="s">
        <v>1052</v>
      </c>
      <c r="F291" s="951" t="s">
        <v>984</v>
      </c>
      <c r="G291" s="951"/>
      <c r="H291" s="951"/>
      <c r="I291" s="948" t="s">
        <v>985</v>
      </c>
      <c r="J291" s="948" t="s">
        <v>1053</v>
      </c>
      <c r="K291" s="948" t="s">
        <v>392</v>
      </c>
      <c r="L291" s="948" t="s">
        <v>377</v>
      </c>
      <c r="M291" s="952"/>
      <c r="N291" s="949" t="s">
        <v>1054</v>
      </c>
      <c r="O291" s="949"/>
      <c r="P291" s="949"/>
      <c r="Q291" s="949"/>
      <c r="R291" s="949"/>
      <c r="S291" s="949"/>
      <c r="T291" s="949" t="s">
        <v>1055</v>
      </c>
      <c r="U291" s="949"/>
      <c r="V291" s="949"/>
      <c r="W291" s="949" t="s">
        <v>989</v>
      </c>
      <c r="X291" s="949"/>
      <c r="Y291" s="949"/>
      <c r="Z291" s="949" t="s">
        <v>1056</v>
      </c>
      <c r="AA291" s="949"/>
      <c r="AB291" s="949"/>
      <c r="AC291" s="949"/>
      <c r="AD291" s="949"/>
      <c r="AE291" s="949"/>
      <c r="AF291" s="953" t="s">
        <v>1057</v>
      </c>
      <c r="AG291" s="953"/>
      <c r="AH291" s="953"/>
      <c r="AI291" s="953"/>
      <c r="AJ291" s="953"/>
      <c r="AK291" s="951" t="s">
        <v>1058</v>
      </c>
      <c r="AL291" s="951"/>
      <c r="AM291" s="951"/>
      <c r="AN291" s="951"/>
      <c r="AO291" s="951"/>
      <c r="AP291" s="951"/>
      <c r="AQ291" s="951" t="s">
        <v>1059</v>
      </c>
      <c r="AR291" s="951"/>
      <c r="AS291" s="951"/>
      <c r="AT291" s="951" t="s">
        <v>1060</v>
      </c>
      <c r="AU291" s="951"/>
      <c r="AV291" s="951"/>
      <c r="AW291" s="951"/>
      <c r="AX291" s="951"/>
      <c r="AY291" s="951"/>
      <c r="AZ291" s="951" t="s">
        <v>1061</v>
      </c>
      <c r="BA291" s="951"/>
      <c r="BB291" s="951"/>
      <c r="BC291" s="954" t="s">
        <v>1062</v>
      </c>
      <c r="BD291" s="954"/>
      <c r="BE291" s="954"/>
      <c r="BF291" s="954"/>
      <c r="BG291" s="954"/>
      <c r="BH291" s="954"/>
      <c r="BI291" s="954" t="s">
        <v>996</v>
      </c>
      <c r="BJ291" s="954"/>
      <c r="BK291" s="954"/>
      <c r="BL291" s="951" t="s">
        <v>997</v>
      </c>
      <c r="BM291" s="951"/>
      <c r="BN291" s="951"/>
      <c r="BO291" s="951"/>
      <c r="BP291" s="951"/>
      <c r="BQ291" s="951"/>
      <c r="BR291" s="951"/>
      <c r="BS291" s="951"/>
      <c r="BT291" s="955" t="s">
        <v>998</v>
      </c>
    </row>
    <row r="292" spans="1:72">
      <c r="A292" s="949"/>
      <c r="B292" s="949"/>
      <c r="C292" s="949"/>
      <c r="D292" s="949" t="s">
        <v>1063</v>
      </c>
      <c r="E292" s="949" t="s">
        <v>391</v>
      </c>
      <c r="F292" s="948" t="s">
        <v>999</v>
      </c>
      <c r="G292" s="948" t="s">
        <v>1000</v>
      </c>
      <c r="H292" s="948" t="s">
        <v>1001</v>
      </c>
      <c r="I292" s="948" t="s">
        <v>1002</v>
      </c>
      <c r="J292" s="948" t="s">
        <v>1003</v>
      </c>
      <c r="K292" s="951" t="s">
        <v>1064</v>
      </c>
      <c r="L292" s="948"/>
      <c r="M292" s="952"/>
      <c r="N292" s="949" t="s">
        <v>1001</v>
      </c>
      <c r="O292" s="949"/>
      <c r="P292" s="949" t="s">
        <v>1000</v>
      </c>
      <c r="Q292" s="949"/>
      <c r="R292" s="949" t="s">
        <v>1001</v>
      </c>
      <c r="S292" s="949"/>
      <c r="T292" s="950" t="s">
        <v>1007</v>
      </c>
      <c r="U292" s="949" t="s">
        <v>1005</v>
      </c>
      <c r="V292" s="949"/>
      <c r="W292" s="949"/>
      <c r="X292" s="949" t="s">
        <v>1000</v>
      </c>
      <c r="Y292" s="949" t="s">
        <v>1001</v>
      </c>
      <c r="Z292" s="949" t="s">
        <v>1001</v>
      </c>
      <c r="AA292" s="949"/>
      <c r="AB292" s="949" t="s">
        <v>1000</v>
      </c>
      <c r="AC292" s="949"/>
      <c r="AD292" s="949" t="s">
        <v>1001</v>
      </c>
      <c r="AE292" s="949"/>
      <c r="AF292" s="953" t="s">
        <v>1004</v>
      </c>
      <c r="AG292" s="953"/>
      <c r="AH292" s="953"/>
      <c r="AI292" s="953" t="s">
        <v>1065</v>
      </c>
      <c r="AJ292" s="953"/>
      <c r="AK292" s="951" t="s">
        <v>1001</v>
      </c>
      <c r="AL292" s="951"/>
      <c r="AM292" s="951" t="s">
        <v>1000</v>
      </c>
      <c r="AN292" s="951"/>
      <c r="AO292" s="951" t="s">
        <v>1001</v>
      </c>
      <c r="AP292" s="951"/>
      <c r="AQ292" s="951" t="s">
        <v>1004</v>
      </c>
      <c r="AR292" s="951" t="s">
        <v>1005</v>
      </c>
      <c r="AS292" s="951"/>
      <c r="AT292" s="951" t="s">
        <v>1066</v>
      </c>
      <c r="AU292" s="951"/>
      <c r="AV292" s="951" t="s">
        <v>1000</v>
      </c>
      <c r="AW292" s="951"/>
      <c r="AX292" s="951" t="s">
        <v>1001</v>
      </c>
      <c r="AY292" s="951"/>
      <c r="AZ292" s="951" t="s">
        <v>1004</v>
      </c>
      <c r="BA292" s="951" t="s">
        <v>1005</v>
      </c>
      <c r="BB292" s="951"/>
      <c r="BC292" s="953" t="s">
        <v>1001</v>
      </c>
      <c r="BD292" s="953"/>
      <c r="BE292" s="953" t="s">
        <v>1000</v>
      </c>
      <c r="BF292" s="953"/>
      <c r="BG292" s="951" t="s">
        <v>1001</v>
      </c>
      <c r="BH292" s="951"/>
      <c r="BI292" s="956" t="s">
        <v>1004</v>
      </c>
      <c r="BJ292" s="954" t="s">
        <v>1005</v>
      </c>
      <c r="BK292" s="954"/>
      <c r="BL292" s="951" t="s">
        <v>1006</v>
      </c>
      <c r="BM292" s="951"/>
      <c r="BN292" s="951"/>
      <c r="BO292" s="951"/>
      <c r="BP292" s="951"/>
      <c r="BQ292" s="951"/>
      <c r="BR292" s="951" t="s">
        <v>1067</v>
      </c>
      <c r="BS292" s="951"/>
      <c r="BT292" s="953" t="s">
        <v>1068</v>
      </c>
    </row>
    <row r="293" spans="1:72">
      <c r="A293" s="949"/>
      <c r="B293" s="949"/>
      <c r="C293" s="949" t="s">
        <v>391</v>
      </c>
      <c r="D293" s="949"/>
      <c r="E293" s="949"/>
      <c r="F293" s="948" t="s">
        <v>1069</v>
      </c>
      <c r="G293" s="948" t="s">
        <v>1069</v>
      </c>
      <c r="H293" s="948" t="s">
        <v>1069</v>
      </c>
      <c r="I293" s="948" t="s">
        <v>1069</v>
      </c>
      <c r="J293" s="948" t="s">
        <v>1069</v>
      </c>
      <c r="K293" s="951"/>
      <c r="L293" s="948" t="s">
        <v>1070</v>
      </c>
      <c r="M293" s="952"/>
      <c r="N293" s="949"/>
      <c r="O293" s="949"/>
      <c r="P293" s="949"/>
      <c r="Q293" s="949"/>
      <c r="R293" s="949"/>
      <c r="S293" s="949"/>
      <c r="T293" s="950" t="s">
        <v>1071</v>
      </c>
      <c r="U293" s="950" t="s">
        <v>1012</v>
      </c>
      <c r="V293" s="950" t="s">
        <v>494</v>
      </c>
      <c r="W293" s="949"/>
      <c r="X293" s="949"/>
      <c r="Y293" s="949"/>
      <c r="Z293" s="949"/>
      <c r="AA293" s="949"/>
      <c r="AB293" s="949"/>
      <c r="AC293" s="949"/>
      <c r="AD293" s="949"/>
      <c r="AE293" s="949"/>
      <c r="AF293" s="955" t="s">
        <v>1001</v>
      </c>
      <c r="AG293" s="955" t="s">
        <v>1000</v>
      </c>
      <c r="AH293" s="955" t="s">
        <v>1001</v>
      </c>
      <c r="AI293" s="955" t="s">
        <v>1012</v>
      </c>
      <c r="AJ293" s="955" t="s">
        <v>494</v>
      </c>
      <c r="AK293" s="951"/>
      <c r="AL293" s="951"/>
      <c r="AM293" s="951"/>
      <c r="AN293" s="951"/>
      <c r="AO293" s="951"/>
      <c r="AP293" s="951"/>
      <c r="AQ293" s="951"/>
      <c r="AR293" s="948" t="s">
        <v>1012</v>
      </c>
      <c r="AS293" s="948" t="s">
        <v>494</v>
      </c>
      <c r="AT293" s="951"/>
      <c r="AU293" s="951"/>
      <c r="AV293" s="951"/>
      <c r="AW293" s="951"/>
      <c r="AX293" s="951"/>
      <c r="AY293" s="951"/>
      <c r="AZ293" s="951"/>
      <c r="BA293" s="948" t="s">
        <v>1012</v>
      </c>
      <c r="BB293" s="948" t="s">
        <v>494</v>
      </c>
      <c r="BC293" s="953"/>
      <c r="BD293" s="953"/>
      <c r="BE293" s="953"/>
      <c r="BF293" s="953"/>
      <c r="BG293" s="951"/>
      <c r="BH293" s="951"/>
      <c r="BI293" s="957"/>
      <c r="BJ293" s="957" t="s">
        <v>1012</v>
      </c>
      <c r="BK293" s="957" t="s">
        <v>494</v>
      </c>
      <c r="BL293" s="951" t="s">
        <v>1001</v>
      </c>
      <c r="BM293" s="951"/>
      <c r="BN293" s="951" t="s">
        <v>1000</v>
      </c>
      <c r="BO293" s="951"/>
      <c r="BP293" s="951" t="s">
        <v>1001</v>
      </c>
      <c r="BQ293" s="951"/>
      <c r="BR293" s="951" t="s">
        <v>1004</v>
      </c>
      <c r="BS293" s="948"/>
      <c r="BT293" s="953"/>
    </row>
    <row r="294" spans="1:72">
      <c r="A294" s="949"/>
      <c r="B294" s="949"/>
      <c r="C294" s="949"/>
      <c r="D294" s="950" t="s">
        <v>1072</v>
      </c>
      <c r="E294" s="950" t="s">
        <v>1073</v>
      </c>
      <c r="F294" s="948" t="s">
        <v>1074</v>
      </c>
      <c r="G294" s="948" t="s">
        <v>1075</v>
      </c>
      <c r="H294" s="948" t="s">
        <v>1076</v>
      </c>
      <c r="I294" s="948" t="s">
        <v>1077</v>
      </c>
      <c r="J294" s="948" t="s">
        <v>1078</v>
      </c>
      <c r="K294" s="948" t="s">
        <v>1079</v>
      </c>
      <c r="L294" s="948" t="s">
        <v>1080</v>
      </c>
      <c r="M294" s="952"/>
      <c r="N294" s="949" t="s">
        <v>1081</v>
      </c>
      <c r="O294" s="949"/>
      <c r="P294" s="949"/>
      <c r="Q294" s="949"/>
      <c r="R294" s="949"/>
      <c r="S294" s="949"/>
      <c r="T294" s="950" t="s">
        <v>1082</v>
      </c>
      <c r="U294" s="949" t="s">
        <v>1081</v>
      </c>
      <c r="V294" s="949"/>
      <c r="W294" s="949" t="s">
        <v>1081</v>
      </c>
      <c r="X294" s="949"/>
      <c r="Y294" s="949"/>
      <c r="Z294" s="949" t="s">
        <v>1082</v>
      </c>
      <c r="AA294" s="949"/>
      <c r="AB294" s="949"/>
      <c r="AC294" s="949"/>
      <c r="AD294" s="949"/>
      <c r="AE294" s="949"/>
      <c r="AF294" s="953" t="s">
        <v>1082</v>
      </c>
      <c r="AG294" s="953"/>
      <c r="AH294" s="953"/>
      <c r="AI294" s="953"/>
      <c r="AJ294" s="953"/>
      <c r="AK294" s="951" t="s">
        <v>1069</v>
      </c>
      <c r="AL294" s="951"/>
      <c r="AM294" s="951"/>
      <c r="AN294" s="951"/>
      <c r="AO294" s="951"/>
      <c r="AP294" s="951"/>
      <c r="AQ294" s="951"/>
      <c r="AR294" s="951"/>
      <c r="AS294" s="951"/>
      <c r="AT294" s="951"/>
      <c r="AU294" s="951"/>
      <c r="AV294" s="951"/>
      <c r="AW294" s="951"/>
      <c r="AX294" s="951"/>
      <c r="AY294" s="951"/>
      <c r="AZ294" s="951"/>
      <c r="BA294" s="951"/>
      <c r="BB294" s="951"/>
      <c r="BC294" s="954"/>
      <c r="BD294" s="954"/>
      <c r="BE294" s="954"/>
      <c r="BF294" s="954"/>
      <c r="BG294" s="954"/>
      <c r="BH294" s="954"/>
      <c r="BI294" s="954"/>
      <c r="BJ294" s="954"/>
      <c r="BK294" s="954"/>
      <c r="BL294" s="951"/>
      <c r="BM294" s="951"/>
      <c r="BN294" s="951"/>
      <c r="BO294" s="951"/>
      <c r="BP294" s="951"/>
      <c r="BQ294" s="951"/>
      <c r="BR294" s="951"/>
      <c r="BS294" s="948" t="s">
        <v>494</v>
      </c>
      <c r="BT294" s="953"/>
    </row>
    <row r="295" spans="1:72">
      <c r="A295" s="952"/>
      <c r="B295" s="952"/>
      <c r="C295" s="950"/>
      <c r="D295" s="950"/>
      <c r="E295" s="950"/>
      <c r="F295" s="948"/>
      <c r="G295" s="948"/>
      <c r="H295" s="948"/>
      <c r="I295" s="948"/>
      <c r="J295" s="948"/>
      <c r="K295" s="948"/>
      <c r="L295" s="948"/>
      <c r="M295" s="952"/>
      <c r="N295" s="950"/>
      <c r="O295" s="950"/>
      <c r="P295" s="950"/>
      <c r="Q295" s="950"/>
      <c r="R295" s="950"/>
      <c r="S295" s="950"/>
      <c r="T295" s="950"/>
      <c r="U295" s="950"/>
      <c r="V295" s="950"/>
      <c r="W295" s="950"/>
      <c r="X295" s="950"/>
      <c r="Y295" s="950"/>
      <c r="Z295" s="950"/>
      <c r="AA295" s="950"/>
      <c r="AB295" s="950"/>
      <c r="AC295" s="950"/>
      <c r="AD295" s="950"/>
      <c r="AE295" s="950"/>
      <c r="AF295" s="955"/>
      <c r="AG295" s="955"/>
      <c r="AH295" s="955"/>
      <c r="AI295" s="955"/>
      <c r="AJ295" s="955"/>
      <c r="AK295" s="948"/>
      <c r="AL295" s="948"/>
      <c r="AM295" s="948"/>
      <c r="AN295" s="948"/>
      <c r="AO295" s="948"/>
      <c r="AP295" s="948"/>
      <c r="AQ295" s="948"/>
      <c r="AR295" s="948"/>
      <c r="AS295" s="948"/>
      <c r="AT295" s="948"/>
      <c r="AU295" s="948"/>
      <c r="AV295" s="948"/>
      <c r="AW295" s="948"/>
      <c r="AX295" s="948"/>
      <c r="AY295" s="948"/>
      <c r="AZ295" s="948"/>
      <c r="BA295" s="948"/>
      <c r="BB295" s="948"/>
      <c r="BC295" s="957"/>
      <c r="BD295" s="957"/>
      <c r="BE295" s="957"/>
      <c r="BF295" s="957"/>
      <c r="BG295" s="957"/>
      <c r="BH295" s="957"/>
      <c r="BI295" s="957"/>
      <c r="BJ295" s="957"/>
      <c r="BK295" s="957"/>
      <c r="BL295" s="948"/>
      <c r="BM295" s="948"/>
      <c r="BN295" s="948"/>
      <c r="BO295" s="948"/>
      <c r="BP295" s="948"/>
      <c r="BQ295" s="948"/>
      <c r="BR295" s="948"/>
      <c r="BS295" s="948"/>
      <c r="BT295" s="955"/>
    </row>
    <row r="296" spans="1:72">
      <c r="A296" s="958" t="s">
        <v>1198</v>
      </c>
      <c r="B296" s="952"/>
      <c r="C296" s="950"/>
      <c r="D296" s="950"/>
      <c r="E296" s="950"/>
      <c r="F296" s="948"/>
      <c r="G296" s="948"/>
      <c r="H296" s="948"/>
      <c r="I296" s="948"/>
      <c r="J296" s="948"/>
      <c r="K296" s="948"/>
      <c r="L296" s="948"/>
      <c r="M296" s="952"/>
      <c r="N296" s="958" t="str">
        <f>A296</f>
        <v>Balok Lantai 9</v>
      </c>
      <c r="O296" s="950"/>
      <c r="P296" s="950"/>
      <c r="Q296" s="950"/>
      <c r="R296" s="950"/>
      <c r="S296" s="950"/>
      <c r="T296" s="950"/>
      <c r="U296" s="950"/>
      <c r="V296" s="950"/>
      <c r="W296" s="950"/>
      <c r="X296" s="950"/>
      <c r="Y296" s="950"/>
      <c r="Z296" s="950"/>
      <c r="AA296" s="950"/>
      <c r="AB296" s="950"/>
      <c r="AC296" s="950"/>
      <c r="AD296" s="950"/>
      <c r="AE296" s="950"/>
      <c r="AF296" s="955"/>
      <c r="AG296" s="955"/>
      <c r="AH296" s="955"/>
      <c r="AI296" s="955"/>
      <c r="AJ296" s="955"/>
      <c r="AK296" s="948"/>
      <c r="AL296" s="948"/>
      <c r="AM296" s="948"/>
      <c r="AN296" s="948"/>
      <c r="AO296" s="948"/>
      <c r="AP296" s="948"/>
      <c r="AQ296" s="948"/>
      <c r="AR296" s="948"/>
      <c r="AS296" s="948"/>
      <c r="AT296" s="948"/>
      <c r="AU296" s="948"/>
      <c r="AV296" s="948"/>
      <c r="AW296" s="948"/>
      <c r="AX296" s="948"/>
      <c r="AY296" s="948"/>
      <c r="AZ296" s="948"/>
      <c r="BA296" s="948"/>
      <c r="BB296" s="948"/>
      <c r="BC296" s="957"/>
      <c r="BD296" s="957"/>
      <c r="BE296" s="957"/>
      <c r="BF296" s="957"/>
      <c r="BG296" s="957"/>
      <c r="BH296" s="957"/>
      <c r="BI296" s="957"/>
      <c r="BJ296" s="957"/>
      <c r="BK296" s="957"/>
      <c r="BL296" s="948"/>
      <c r="BM296" s="948"/>
      <c r="BN296" s="948"/>
      <c r="BO296" s="948"/>
      <c r="BP296" s="948"/>
      <c r="BQ296" s="948"/>
      <c r="BR296" s="948"/>
      <c r="BS296" s="948"/>
      <c r="BT296" s="955"/>
    </row>
    <row r="297" spans="1:72">
      <c r="A297" s="960" t="s">
        <v>2</v>
      </c>
      <c r="B297" s="960" t="s">
        <v>1084</v>
      </c>
      <c r="C297" s="950"/>
      <c r="D297" s="950"/>
      <c r="E297" s="950"/>
      <c r="F297" s="948"/>
      <c r="G297" s="948"/>
      <c r="H297" s="948"/>
      <c r="I297" s="948"/>
      <c r="J297" s="948"/>
      <c r="K297" s="948"/>
      <c r="L297" s="948"/>
      <c r="M297" s="952"/>
      <c r="N297" s="959" t="str">
        <f>A297</f>
        <v>A</v>
      </c>
      <c r="O297" s="959" t="str">
        <f>B297</f>
        <v>Vertikal</v>
      </c>
      <c r="P297" s="950"/>
      <c r="Q297" s="950"/>
      <c r="R297" s="950"/>
      <c r="S297" s="950"/>
      <c r="T297" s="950"/>
      <c r="U297" s="950"/>
      <c r="V297" s="950"/>
      <c r="W297" s="950"/>
      <c r="X297" s="950"/>
      <c r="Y297" s="950"/>
      <c r="Z297" s="950"/>
      <c r="AA297" s="950"/>
      <c r="AB297" s="950"/>
      <c r="AC297" s="950"/>
      <c r="AD297" s="950"/>
      <c r="AE297" s="950"/>
      <c r="AF297" s="955"/>
      <c r="AG297" s="955"/>
      <c r="AH297" s="955"/>
      <c r="AI297" s="955"/>
      <c r="AJ297" s="955"/>
      <c r="AK297" s="948"/>
      <c r="AL297" s="948"/>
      <c r="AM297" s="948"/>
      <c r="AN297" s="948"/>
      <c r="AO297" s="948"/>
      <c r="AP297" s="948"/>
      <c r="AQ297" s="948"/>
      <c r="AR297" s="948"/>
      <c r="AS297" s="948"/>
      <c r="AT297" s="948"/>
      <c r="AU297" s="948"/>
      <c r="AV297" s="948"/>
      <c r="AW297" s="948"/>
      <c r="AX297" s="948"/>
      <c r="AY297" s="948"/>
      <c r="AZ297" s="948"/>
      <c r="BA297" s="948"/>
      <c r="BB297" s="948"/>
      <c r="BC297" s="957"/>
      <c r="BD297" s="957"/>
      <c r="BE297" s="957"/>
      <c r="BF297" s="957"/>
      <c r="BG297" s="957"/>
      <c r="BH297" s="957"/>
      <c r="BI297" s="957"/>
      <c r="BJ297" s="957"/>
      <c r="BK297" s="957"/>
      <c r="BL297" s="948"/>
      <c r="BM297" s="948"/>
      <c r="BN297" s="948"/>
      <c r="BO297" s="948"/>
      <c r="BP297" s="948"/>
      <c r="BQ297" s="948"/>
      <c r="BR297" s="948"/>
      <c r="BS297" s="948"/>
      <c r="BT297" s="955"/>
    </row>
    <row r="298" spans="1:72">
      <c r="A298" s="952">
        <v>1</v>
      </c>
      <c r="B298" s="952" t="s">
        <v>1161</v>
      </c>
      <c r="C298" s="950" t="s">
        <v>1185</v>
      </c>
      <c r="D298" s="950">
        <v>1</v>
      </c>
      <c r="E298" s="950">
        <v>1</v>
      </c>
      <c r="F298" s="948">
        <v>64</v>
      </c>
      <c r="G298" s="948">
        <v>0.3</v>
      </c>
      <c r="H298" s="948">
        <v>0.65</v>
      </c>
      <c r="I298" s="948">
        <v>0.12</v>
      </c>
      <c r="J298" s="948">
        <f t="shared" ref="J298" si="656">H298-I298</f>
        <v>0.53</v>
      </c>
      <c r="K298" s="948">
        <f>F298*G298*J298*D298*E298</f>
        <v>10.176</v>
      </c>
      <c r="L298" s="948">
        <f>(2*J298)*F298*E298*D298</f>
        <v>67.84</v>
      </c>
      <c r="M298" s="952"/>
      <c r="N298" s="950">
        <v>19</v>
      </c>
      <c r="O298" s="950">
        <v>19</v>
      </c>
      <c r="P298" s="950">
        <v>19</v>
      </c>
      <c r="Q298" s="950">
        <v>19</v>
      </c>
      <c r="R298" s="950">
        <v>19</v>
      </c>
      <c r="S298" s="950">
        <v>19</v>
      </c>
      <c r="T298" s="950">
        <v>8</v>
      </c>
      <c r="U298" s="950"/>
      <c r="V298" s="950"/>
      <c r="W298" s="950">
        <v>200</v>
      </c>
      <c r="X298" s="950">
        <v>100</v>
      </c>
      <c r="Y298" s="950">
        <v>100</v>
      </c>
      <c r="Z298" s="950">
        <v>4</v>
      </c>
      <c r="AA298" s="950">
        <v>4</v>
      </c>
      <c r="AB298" s="950">
        <v>2</v>
      </c>
      <c r="AC298" s="950">
        <v>2</v>
      </c>
      <c r="AD298" s="950">
        <v>4</v>
      </c>
      <c r="AE298" s="950">
        <v>4</v>
      </c>
      <c r="AF298" s="955">
        <f t="shared" ref="AF298:AF302" si="657">(F298/4)/(W298/1000)+1</f>
        <v>81</v>
      </c>
      <c r="AG298" s="955">
        <f t="shared" ref="AG298:AG302" si="658">(F298/2)/(X298/1000)+1</f>
        <v>321</v>
      </c>
      <c r="AH298" s="955">
        <f t="shared" ref="AH298:AH302" si="659">(F298/4)/(Y298/1000)+1</f>
        <v>161</v>
      </c>
      <c r="AI298" s="955">
        <v>0</v>
      </c>
      <c r="AJ298" s="955">
        <v>0</v>
      </c>
      <c r="AK298" s="948">
        <f t="shared" ref="AK298:AK302" si="660">(F298/4)+(20*N298/1000)+(10*N298/1000)+(8*N298/1000)+(6*2*N298/1000)</f>
        <v>16.950000000000003</v>
      </c>
      <c r="AL298" s="948">
        <f t="shared" ref="AL298:AL302" si="661">(F298/4)+(20*O298/1000)+(10*O298/1000)+(8*O298/1000)+(6*2*O298/1000)</f>
        <v>16.950000000000003</v>
      </c>
      <c r="AM298" s="948">
        <f t="shared" ref="AM298:AM302" si="662">(F298/2)+(20*P298/1000)+(6*2*P298/1000)</f>
        <v>32.608000000000004</v>
      </c>
      <c r="AN298" s="948">
        <f t="shared" ref="AN298:AN302" si="663">(F298/2)+(20*Q298/1000)+(6*2*Q298/1000)</f>
        <v>32.608000000000004</v>
      </c>
      <c r="AO298" s="948">
        <f t="shared" ref="AO298:AO302" si="664">(F298/4)+(20*R298/1000)+(10*R298/1000)+(8*R298/1000)+(6*2*R298/1000)</f>
        <v>16.950000000000003</v>
      </c>
      <c r="AP298" s="948">
        <f t="shared" ref="AP298:AP302" si="665">(F298/4)+(20*S298/1000)+(10*S298/1000)+(8*S298/1000)+(6*2*S298/1000)</f>
        <v>16.950000000000003</v>
      </c>
      <c r="AQ298" s="948">
        <f t="shared" ref="AQ298:AQ302" si="666">(2*G298)+(2*H298)+(6*T298/1000)-(8*0.03)</f>
        <v>1.708</v>
      </c>
      <c r="AR298" s="948">
        <f t="shared" ref="AR298:AR302" si="667">((H298)+(2*6*U298/1000)-(2*0.03))*AI298</f>
        <v>0</v>
      </c>
      <c r="AS298" s="948">
        <f t="shared" ref="AS298:AS302" si="668">((G298)+(2*6*V298/1000)-(2*0.03))*AJ298</f>
        <v>0</v>
      </c>
      <c r="AT298" s="948">
        <f t="shared" ref="AT298:AT302" si="669">AK298*Z298*E298*D298</f>
        <v>67.800000000000011</v>
      </c>
      <c r="AU298" s="948">
        <f t="shared" ref="AU298:AU302" si="670">AL298*AA298*E298*D298</f>
        <v>67.800000000000011</v>
      </c>
      <c r="AV298" s="948">
        <f t="shared" ref="AV298:AV302" si="671">AM298*AB298*E298*D298</f>
        <v>65.216000000000008</v>
      </c>
      <c r="AW298" s="948">
        <f t="shared" ref="AW298:AW302" si="672">AN298*AC298*E298*D298</f>
        <v>65.216000000000008</v>
      </c>
      <c r="AX298" s="948">
        <f t="shared" ref="AX298:AX302" si="673">AO298*AD298*E298*D298</f>
        <v>67.800000000000011</v>
      </c>
      <c r="AY298" s="948">
        <f t="shared" ref="AY298:AY302" si="674">AP298*AE298*E298*D298</f>
        <v>67.800000000000011</v>
      </c>
      <c r="AZ298" s="948">
        <f t="shared" ref="AZ298:AZ302" si="675">AQ298*(AF298+AG298+AH298)*E298*D298</f>
        <v>961.60399999999993</v>
      </c>
      <c r="BA298" s="948">
        <f t="shared" ref="BA298:BA302" si="676">AR298*(AF298+AG298+AH298)*E298*D298</f>
        <v>0</v>
      </c>
      <c r="BB298" s="948">
        <f t="shared" ref="BB298:BB302" si="677">AS298*(AF298+AG298+AH298)*E298*D298</f>
        <v>0</v>
      </c>
      <c r="BC298" s="957">
        <f t="shared" ref="BC298:BK302" si="678">N298*N298*0.074/12</f>
        <v>2.2261666666666664</v>
      </c>
      <c r="BD298" s="957">
        <f t="shared" si="678"/>
        <v>2.2261666666666664</v>
      </c>
      <c r="BE298" s="957">
        <f t="shared" si="678"/>
        <v>2.2261666666666664</v>
      </c>
      <c r="BF298" s="957">
        <f t="shared" si="678"/>
        <v>2.2261666666666664</v>
      </c>
      <c r="BG298" s="957">
        <f t="shared" si="678"/>
        <v>2.2261666666666664</v>
      </c>
      <c r="BH298" s="957">
        <f t="shared" si="678"/>
        <v>2.2261666666666664</v>
      </c>
      <c r="BI298" s="957">
        <f t="shared" si="678"/>
        <v>0.39466666666666667</v>
      </c>
      <c r="BJ298" s="957">
        <f t="shared" si="678"/>
        <v>0</v>
      </c>
      <c r="BK298" s="957">
        <f t="shared" si="678"/>
        <v>0</v>
      </c>
      <c r="BL298" s="948">
        <f t="shared" ref="BL298:BR302" si="679">AT298*BC298</f>
        <v>150.9341</v>
      </c>
      <c r="BM298" s="948">
        <f t="shared" si="679"/>
        <v>150.9341</v>
      </c>
      <c r="BN298" s="948">
        <f t="shared" si="679"/>
        <v>145.18168533333335</v>
      </c>
      <c r="BO298" s="948">
        <f t="shared" si="679"/>
        <v>145.18168533333335</v>
      </c>
      <c r="BP298" s="948">
        <f t="shared" si="679"/>
        <v>150.9341</v>
      </c>
      <c r="BQ298" s="948">
        <f t="shared" si="679"/>
        <v>150.9341</v>
      </c>
      <c r="BR298" s="948">
        <f t="shared" si="679"/>
        <v>379.51304533333331</v>
      </c>
      <c r="BS298" s="948">
        <f>BB298*BK298</f>
        <v>0</v>
      </c>
      <c r="BT298" s="955">
        <f>SUM(BL298:BS298)/K298</f>
        <v>125.15849213836478</v>
      </c>
    </row>
    <row r="299" spans="1:72">
      <c r="A299" s="952">
        <v>2</v>
      </c>
      <c r="B299" s="952" t="s">
        <v>1162</v>
      </c>
      <c r="C299" s="950" t="s">
        <v>1163</v>
      </c>
      <c r="D299" s="950">
        <v>1</v>
      </c>
      <c r="E299" s="950">
        <v>1</v>
      </c>
      <c r="F299" s="948">
        <v>64</v>
      </c>
      <c r="G299" s="948">
        <v>0.25</v>
      </c>
      <c r="H299" s="948">
        <v>0.6</v>
      </c>
      <c r="I299" s="948">
        <v>0.12</v>
      </c>
      <c r="J299" s="948">
        <f>H299-I299</f>
        <v>0.48</v>
      </c>
      <c r="K299" s="948">
        <f>F299*G299*J299*D299*E299</f>
        <v>7.68</v>
      </c>
      <c r="L299" s="948">
        <f>(2*J299)*F299*E299*D299</f>
        <v>61.44</v>
      </c>
      <c r="M299" s="952"/>
      <c r="N299" s="950">
        <v>16</v>
      </c>
      <c r="O299" s="950">
        <v>16</v>
      </c>
      <c r="P299" s="950">
        <v>16</v>
      </c>
      <c r="Q299" s="950">
        <v>16</v>
      </c>
      <c r="R299" s="950">
        <v>16</v>
      </c>
      <c r="S299" s="950">
        <v>16</v>
      </c>
      <c r="T299" s="950">
        <v>8</v>
      </c>
      <c r="U299" s="950"/>
      <c r="V299" s="950"/>
      <c r="W299" s="950">
        <v>200</v>
      </c>
      <c r="X299" s="950">
        <v>100</v>
      </c>
      <c r="Y299" s="950">
        <v>100</v>
      </c>
      <c r="Z299" s="950">
        <v>4</v>
      </c>
      <c r="AA299" s="950">
        <v>4</v>
      </c>
      <c r="AB299" s="950">
        <v>2</v>
      </c>
      <c r="AC299" s="950">
        <v>2</v>
      </c>
      <c r="AD299" s="950">
        <v>4</v>
      </c>
      <c r="AE299" s="950">
        <v>4</v>
      </c>
      <c r="AF299" s="955">
        <f t="shared" si="657"/>
        <v>81</v>
      </c>
      <c r="AG299" s="955">
        <f t="shared" si="658"/>
        <v>321</v>
      </c>
      <c r="AH299" s="955">
        <f t="shared" si="659"/>
        <v>161</v>
      </c>
      <c r="AI299" s="955">
        <v>0</v>
      </c>
      <c r="AJ299" s="955">
        <v>0</v>
      </c>
      <c r="AK299" s="948">
        <f t="shared" si="660"/>
        <v>16.8</v>
      </c>
      <c r="AL299" s="948">
        <f t="shared" si="661"/>
        <v>16.8</v>
      </c>
      <c r="AM299" s="948">
        <f t="shared" si="662"/>
        <v>32.512</v>
      </c>
      <c r="AN299" s="948">
        <f t="shared" si="663"/>
        <v>32.512</v>
      </c>
      <c r="AO299" s="948">
        <f t="shared" si="664"/>
        <v>16.8</v>
      </c>
      <c r="AP299" s="948">
        <f t="shared" si="665"/>
        <v>16.8</v>
      </c>
      <c r="AQ299" s="948">
        <f t="shared" si="666"/>
        <v>1.508</v>
      </c>
      <c r="AR299" s="948">
        <f t="shared" si="667"/>
        <v>0</v>
      </c>
      <c r="AS299" s="948">
        <f t="shared" si="668"/>
        <v>0</v>
      </c>
      <c r="AT299" s="948">
        <f t="shared" si="669"/>
        <v>67.2</v>
      </c>
      <c r="AU299" s="948">
        <f t="shared" si="670"/>
        <v>67.2</v>
      </c>
      <c r="AV299" s="948">
        <f t="shared" si="671"/>
        <v>65.024000000000001</v>
      </c>
      <c r="AW299" s="948">
        <f t="shared" si="672"/>
        <v>65.024000000000001</v>
      </c>
      <c r="AX299" s="948">
        <f t="shared" si="673"/>
        <v>67.2</v>
      </c>
      <c r="AY299" s="948">
        <f t="shared" si="674"/>
        <v>67.2</v>
      </c>
      <c r="AZ299" s="948">
        <f t="shared" si="675"/>
        <v>849.00400000000002</v>
      </c>
      <c r="BA299" s="948">
        <f t="shared" si="676"/>
        <v>0</v>
      </c>
      <c r="BB299" s="948">
        <f t="shared" si="677"/>
        <v>0</v>
      </c>
      <c r="BC299" s="957">
        <f t="shared" si="678"/>
        <v>1.5786666666666667</v>
      </c>
      <c r="BD299" s="957">
        <f t="shared" si="678"/>
        <v>1.5786666666666667</v>
      </c>
      <c r="BE299" s="957">
        <f t="shared" si="678"/>
        <v>1.5786666666666667</v>
      </c>
      <c r="BF299" s="957">
        <f t="shared" si="678"/>
        <v>1.5786666666666667</v>
      </c>
      <c r="BG299" s="957">
        <f t="shared" si="678"/>
        <v>1.5786666666666667</v>
      </c>
      <c r="BH299" s="957">
        <f t="shared" si="678"/>
        <v>1.5786666666666667</v>
      </c>
      <c r="BI299" s="957">
        <f t="shared" si="678"/>
        <v>0.39466666666666667</v>
      </c>
      <c r="BJ299" s="957">
        <f t="shared" si="678"/>
        <v>0</v>
      </c>
      <c r="BK299" s="957">
        <f t="shared" si="678"/>
        <v>0</v>
      </c>
      <c r="BL299" s="948">
        <f t="shared" si="679"/>
        <v>106.0864</v>
      </c>
      <c r="BM299" s="948">
        <f t="shared" si="679"/>
        <v>106.0864</v>
      </c>
      <c r="BN299" s="948">
        <f t="shared" si="679"/>
        <v>102.65122133333334</v>
      </c>
      <c r="BO299" s="948">
        <f t="shared" si="679"/>
        <v>102.65122133333334</v>
      </c>
      <c r="BP299" s="948">
        <f t="shared" si="679"/>
        <v>106.0864</v>
      </c>
      <c r="BQ299" s="948">
        <f t="shared" si="679"/>
        <v>106.0864</v>
      </c>
      <c r="BR299" s="948">
        <f t="shared" si="679"/>
        <v>335.07357866666666</v>
      </c>
      <c r="BS299" s="948">
        <f>BB299*BK299</f>
        <v>0</v>
      </c>
      <c r="BT299" s="955">
        <f>SUM(BL299:BS299)/K299</f>
        <v>125.61479444444446</v>
      </c>
    </row>
    <row r="300" spans="1:72">
      <c r="A300" s="952">
        <v>3</v>
      </c>
      <c r="B300" s="952" t="s">
        <v>1092</v>
      </c>
      <c r="C300" s="950" t="s">
        <v>1093</v>
      </c>
      <c r="D300" s="950">
        <v>1</v>
      </c>
      <c r="E300" s="950">
        <v>1</v>
      </c>
      <c r="F300" s="948">
        <v>80</v>
      </c>
      <c r="G300" s="948">
        <v>0.25</v>
      </c>
      <c r="H300" s="948">
        <v>0.6</v>
      </c>
      <c r="I300" s="948">
        <v>0.12</v>
      </c>
      <c r="J300" s="948">
        <f>H300-I300</f>
        <v>0.48</v>
      </c>
      <c r="K300" s="948">
        <f>F300*G300*J300*D300*E300</f>
        <v>9.6</v>
      </c>
      <c r="L300" s="948">
        <f>(2*J300)*F300*E300*D300</f>
        <v>76.8</v>
      </c>
      <c r="M300" s="952"/>
      <c r="N300" s="950">
        <v>16</v>
      </c>
      <c r="O300" s="950">
        <v>16</v>
      </c>
      <c r="P300" s="950">
        <v>16</v>
      </c>
      <c r="Q300" s="950">
        <v>16</v>
      </c>
      <c r="R300" s="950">
        <v>16</v>
      </c>
      <c r="S300" s="950">
        <v>16</v>
      </c>
      <c r="T300" s="950">
        <v>8</v>
      </c>
      <c r="U300" s="950"/>
      <c r="V300" s="950"/>
      <c r="W300" s="950">
        <v>200</v>
      </c>
      <c r="X300" s="950">
        <v>100</v>
      </c>
      <c r="Y300" s="950">
        <v>100</v>
      </c>
      <c r="Z300" s="950">
        <v>9</v>
      </c>
      <c r="AA300" s="950">
        <v>6</v>
      </c>
      <c r="AB300" s="950">
        <v>4</v>
      </c>
      <c r="AC300" s="950">
        <v>4</v>
      </c>
      <c r="AD300" s="950">
        <v>9</v>
      </c>
      <c r="AE300" s="950">
        <v>6</v>
      </c>
      <c r="AF300" s="955">
        <f t="shared" si="657"/>
        <v>101</v>
      </c>
      <c r="AG300" s="955">
        <f t="shared" si="658"/>
        <v>401</v>
      </c>
      <c r="AH300" s="955">
        <f t="shared" si="659"/>
        <v>201</v>
      </c>
      <c r="AI300" s="955">
        <v>0</v>
      </c>
      <c r="AJ300" s="955">
        <v>0</v>
      </c>
      <c r="AK300" s="948">
        <f t="shared" si="660"/>
        <v>20.8</v>
      </c>
      <c r="AL300" s="948">
        <f t="shared" si="661"/>
        <v>20.8</v>
      </c>
      <c r="AM300" s="948">
        <f t="shared" si="662"/>
        <v>40.512</v>
      </c>
      <c r="AN300" s="948">
        <f t="shared" si="663"/>
        <v>40.512</v>
      </c>
      <c r="AO300" s="948">
        <f t="shared" si="664"/>
        <v>20.8</v>
      </c>
      <c r="AP300" s="948">
        <f t="shared" si="665"/>
        <v>20.8</v>
      </c>
      <c r="AQ300" s="948">
        <f t="shared" si="666"/>
        <v>1.508</v>
      </c>
      <c r="AR300" s="948">
        <f t="shared" si="667"/>
        <v>0</v>
      </c>
      <c r="AS300" s="948">
        <f t="shared" si="668"/>
        <v>0</v>
      </c>
      <c r="AT300" s="948">
        <f t="shared" si="669"/>
        <v>187.20000000000002</v>
      </c>
      <c r="AU300" s="948">
        <f t="shared" si="670"/>
        <v>124.80000000000001</v>
      </c>
      <c r="AV300" s="948">
        <f t="shared" si="671"/>
        <v>162.048</v>
      </c>
      <c r="AW300" s="948">
        <f t="shared" si="672"/>
        <v>162.048</v>
      </c>
      <c r="AX300" s="948">
        <f t="shared" si="673"/>
        <v>187.20000000000002</v>
      </c>
      <c r="AY300" s="948">
        <f t="shared" si="674"/>
        <v>124.80000000000001</v>
      </c>
      <c r="AZ300" s="948">
        <f t="shared" si="675"/>
        <v>1060.124</v>
      </c>
      <c r="BA300" s="948">
        <f t="shared" si="676"/>
        <v>0</v>
      </c>
      <c r="BB300" s="948">
        <f t="shared" si="677"/>
        <v>0</v>
      </c>
      <c r="BC300" s="957">
        <f t="shared" si="678"/>
        <v>1.5786666666666667</v>
      </c>
      <c r="BD300" s="957">
        <f t="shared" si="678"/>
        <v>1.5786666666666667</v>
      </c>
      <c r="BE300" s="957">
        <f t="shared" si="678"/>
        <v>1.5786666666666667</v>
      </c>
      <c r="BF300" s="957">
        <f t="shared" si="678"/>
        <v>1.5786666666666667</v>
      </c>
      <c r="BG300" s="957">
        <f t="shared" si="678"/>
        <v>1.5786666666666667</v>
      </c>
      <c r="BH300" s="957">
        <f t="shared" si="678"/>
        <v>1.5786666666666667</v>
      </c>
      <c r="BI300" s="957">
        <f t="shared" si="678"/>
        <v>0.39466666666666667</v>
      </c>
      <c r="BJ300" s="957">
        <f t="shared" si="678"/>
        <v>0</v>
      </c>
      <c r="BK300" s="957">
        <f t="shared" si="678"/>
        <v>0</v>
      </c>
      <c r="BL300" s="948">
        <f t="shared" si="679"/>
        <v>295.52640000000002</v>
      </c>
      <c r="BM300" s="948">
        <f t="shared" si="679"/>
        <v>197.01760000000002</v>
      </c>
      <c r="BN300" s="948">
        <f t="shared" si="679"/>
        <v>255.81977599999999</v>
      </c>
      <c r="BO300" s="948">
        <f t="shared" si="679"/>
        <v>255.81977599999999</v>
      </c>
      <c r="BP300" s="948">
        <f t="shared" si="679"/>
        <v>295.52640000000002</v>
      </c>
      <c r="BQ300" s="948">
        <f t="shared" si="679"/>
        <v>197.01760000000002</v>
      </c>
      <c r="BR300" s="948">
        <f t="shared" si="679"/>
        <v>418.39560533333332</v>
      </c>
      <c r="BS300" s="948">
        <f>BB300*BK300</f>
        <v>0</v>
      </c>
      <c r="BT300" s="955">
        <f>SUM(BL300:BS300)/K300</f>
        <v>199.49199555555555</v>
      </c>
    </row>
    <row r="301" spans="1:72">
      <c r="A301" s="952">
        <v>4</v>
      </c>
      <c r="B301" s="952" t="s">
        <v>1164</v>
      </c>
      <c r="C301" s="950" t="s">
        <v>1165</v>
      </c>
      <c r="D301" s="950">
        <v>1</v>
      </c>
      <c r="E301" s="950">
        <v>1</v>
      </c>
      <c r="F301" s="948">
        <v>80</v>
      </c>
      <c r="G301" s="948">
        <v>0.3</v>
      </c>
      <c r="H301" s="948">
        <v>0.65</v>
      </c>
      <c r="I301" s="948">
        <v>0.12</v>
      </c>
      <c r="J301" s="948">
        <f>H301-I301</f>
        <v>0.53</v>
      </c>
      <c r="K301" s="948">
        <f>F301*G301*J301*D301*E301</f>
        <v>12.72</v>
      </c>
      <c r="L301" s="948">
        <f>(2*J301)*F301*E301*D301</f>
        <v>84.800000000000011</v>
      </c>
      <c r="M301" s="952"/>
      <c r="N301" s="950">
        <v>16</v>
      </c>
      <c r="O301" s="950">
        <v>16</v>
      </c>
      <c r="P301" s="950">
        <v>16</v>
      </c>
      <c r="Q301" s="950">
        <v>16</v>
      </c>
      <c r="R301" s="950">
        <v>16</v>
      </c>
      <c r="S301" s="950">
        <v>16</v>
      </c>
      <c r="T301" s="950">
        <v>8</v>
      </c>
      <c r="U301" s="950"/>
      <c r="V301" s="950"/>
      <c r="W301" s="950">
        <v>200</v>
      </c>
      <c r="X301" s="950">
        <v>100</v>
      </c>
      <c r="Y301" s="950">
        <v>100</v>
      </c>
      <c r="Z301" s="950">
        <v>4</v>
      </c>
      <c r="AA301" s="950">
        <v>4</v>
      </c>
      <c r="AB301" s="950">
        <v>2</v>
      </c>
      <c r="AC301" s="950">
        <v>2</v>
      </c>
      <c r="AD301" s="950">
        <v>4</v>
      </c>
      <c r="AE301" s="950">
        <v>4</v>
      </c>
      <c r="AF301" s="955">
        <f t="shared" si="657"/>
        <v>101</v>
      </c>
      <c r="AG301" s="955">
        <f t="shared" si="658"/>
        <v>401</v>
      </c>
      <c r="AH301" s="955">
        <f t="shared" si="659"/>
        <v>201</v>
      </c>
      <c r="AI301" s="955">
        <v>0</v>
      </c>
      <c r="AJ301" s="955">
        <v>0</v>
      </c>
      <c r="AK301" s="948">
        <f t="shared" si="660"/>
        <v>20.8</v>
      </c>
      <c r="AL301" s="948">
        <f t="shared" si="661"/>
        <v>20.8</v>
      </c>
      <c r="AM301" s="948">
        <f t="shared" si="662"/>
        <v>40.512</v>
      </c>
      <c r="AN301" s="948">
        <f t="shared" si="663"/>
        <v>40.512</v>
      </c>
      <c r="AO301" s="948">
        <f t="shared" si="664"/>
        <v>20.8</v>
      </c>
      <c r="AP301" s="948">
        <f t="shared" si="665"/>
        <v>20.8</v>
      </c>
      <c r="AQ301" s="948">
        <f t="shared" si="666"/>
        <v>1.708</v>
      </c>
      <c r="AR301" s="948">
        <f t="shared" si="667"/>
        <v>0</v>
      </c>
      <c r="AS301" s="948">
        <f t="shared" si="668"/>
        <v>0</v>
      </c>
      <c r="AT301" s="948">
        <f t="shared" si="669"/>
        <v>83.2</v>
      </c>
      <c r="AU301" s="948">
        <f t="shared" si="670"/>
        <v>83.2</v>
      </c>
      <c r="AV301" s="948">
        <f t="shared" si="671"/>
        <v>81.024000000000001</v>
      </c>
      <c r="AW301" s="948">
        <f t="shared" si="672"/>
        <v>81.024000000000001</v>
      </c>
      <c r="AX301" s="948">
        <f t="shared" si="673"/>
        <v>83.2</v>
      </c>
      <c r="AY301" s="948">
        <f t="shared" si="674"/>
        <v>83.2</v>
      </c>
      <c r="AZ301" s="948">
        <f t="shared" si="675"/>
        <v>1200.7239999999999</v>
      </c>
      <c r="BA301" s="948">
        <f t="shared" si="676"/>
        <v>0</v>
      </c>
      <c r="BB301" s="948">
        <f t="shared" si="677"/>
        <v>0</v>
      </c>
      <c r="BC301" s="957">
        <f t="shared" si="678"/>
        <v>1.5786666666666667</v>
      </c>
      <c r="BD301" s="957">
        <f t="shared" si="678"/>
        <v>1.5786666666666667</v>
      </c>
      <c r="BE301" s="957">
        <f t="shared" si="678"/>
        <v>1.5786666666666667</v>
      </c>
      <c r="BF301" s="957">
        <f t="shared" si="678"/>
        <v>1.5786666666666667</v>
      </c>
      <c r="BG301" s="957">
        <f t="shared" si="678"/>
        <v>1.5786666666666667</v>
      </c>
      <c r="BH301" s="957">
        <f t="shared" si="678"/>
        <v>1.5786666666666667</v>
      </c>
      <c r="BI301" s="957">
        <f t="shared" si="678"/>
        <v>0.39466666666666667</v>
      </c>
      <c r="BJ301" s="957">
        <f t="shared" si="678"/>
        <v>0</v>
      </c>
      <c r="BK301" s="957">
        <f t="shared" si="678"/>
        <v>0</v>
      </c>
      <c r="BL301" s="948">
        <f t="shared" si="679"/>
        <v>131.34506666666667</v>
      </c>
      <c r="BM301" s="948">
        <f t="shared" si="679"/>
        <v>131.34506666666667</v>
      </c>
      <c r="BN301" s="948">
        <f t="shared" si="679"/>
        <v>127.909888</v>
      </c>
      <c r="BO301" s="948">
        <f t="shared" si="679"/>
        <v>127.909888</v>
      </c>
      <c r="BP301" s="948">
        <f t="shared" si="679"/>
        <v>131.34506666666667</v>
      </c>
      <c r="BQ301" s="948">
        <f t="shared" si="679"/>
        <v>131.34506666666667</v>
      </c>
      <c r="BR301" s="948">
        <f t="shared" si="679"/>
        <v>473.88573866666661</v>
      </c>
      <c r="BS301" s="948">
        <f>BB301*BK301</f>
        <v>0</v>
      </c>
      <c r="BT301" s="955">
        <f>SUM(BL301:BS301)/K301</f>
        <v>98.670265828092226</v>
      </c>
    </row>
    <row r="302" spans="1:72">
      <c r="A302" s="952">
        <v>5</v>
      </c>
      <c r="B302" s="952" t="s">
        <v>1166</v>
      </c>
      <c r="C302" s="950" t="s">
        <v>1103</v>
      </c>
      <c r="D302" s="950">
        <v>1</v>
      </c>
      <c r="E302" s="950">
        <v>1</v>
      </c>
      <c r="F302" s="948">
        <v>10</v>
      </c>
      <c r="G302" s="948">
        <v>0.25</v>
      </c>
      <c r="H302" s="948">
        <v>0.6</v>
      </c>
      <c r="I302" s="948">
        <v>0.12</v>
      </c>
      <c r="J302" s="948">
        <f t="shared" ref="J302" si="680">H302-I302</f>
        <v>0.48</v>
      </c>
      <c r="K302" s="948">
        <f t="shared" ref="K302" si="681">F302*G302*J302*D302*E302</f>
        <v>1.2</v>
      </c>
      <c r="L302" s="948">
        <f t="shared" ref="L302" si="682">(2*J302)*F302*E302*D302+(D302*E302*F302*G302)</f>
        <v>12.1</v>
      </c>
      <c r="M302" s="952"/>
      <c r="N302" s="950">
        <v>16</v>
      </c>
      <c r="O302" s="950">
        <v>16</v>
      </c>
      <c r="P302" s="950">
        <v>16</v>
      </c>
      <c r="Q302" s="950">
        <v>16</v>
      </c>
      <c r="R302" s="950">
        <v>16</v>
      </c>
      <c r="S302" s="950">
        <v>16</v>
      </c>
      <c r="T302" s="950">
        <v>8</v>
      </c>
      <c r="U302" s="950"/>
      <c r="V302" s="950"/>
      <c r="W302" s="950">
        <v>200</v>
      </c>
      <c r="X302" s="950">
        <v>100</v>
      </c>
      <c r="Y302" s="950">
        <v>100</v>
      </c>
      <c r="Z302" s="950">
        <v>4</v>
      </c>
      <c r="AA302" s="950">
        <v>4</v>
      </c>
      <c r="AB302" s="950">
        <v>2</v>
      </c>
      <c r="AC302" s="950">
        <v>2</v>
      </c>
      <c r="AD302" s="950">
        <v>4</v>
      </c>
      <c r="AE302" s="950">
        <v>4</v>
      </c>
      <c r="AF302" s="955">
        <f t="shared" si="657"/>
        <v>13.5</v>
      </c>
      <c r="AG302" s="955">
        <f t="shared" si="658"/>
        <v>51</v>
      </c>
      <c r="AH302" s="955">
        <f t="shared" si="659"/>
        <v>26</v>
      </c>
      <c r="AI302" s="955">
        <v>0</v>
      </c>
      <c r="AJ302" s="955">
        <v>0</v>
      </c>
      <c r="AK302" s="948">
        <f t="shared" si="660"/>
        <v>3.3000000000000003</v>
      </c>
      <c r="AL302" s="948">
        <f t="shared" si="661"/>
        <v>3.3000000000000003</v>
      </c>
      <c r="AM302" s="948">
        <f t="shared" si="662"/>
        <v>5.5120000000000005</v>
      </c>
      <c r="AN302" s="948">
        <f t="shared" si="663"/>
        <v>5.5120000000000005</v>
      </c>
      <c r="AO302" s="948">
        <f t="shared" si="664"/>
        <v>3.3000000000000003</v>
      </c>
      <c r="AP302" s="948">
        <f t="shared" si="665"/>
        <v>3.3000000000000003</v>
      </c>
      <c r="AQ302" s="948">
        <f t="shared" si="666"/>
        <v>1.508</v>
      </c>
      <c r="AR302" s="948">
        <f t="shared" si="667"/>
        <v>0</v>
      </c>
      <c r="AS302" s="948">
        <f t="shared" si="668"/>
        <v>0</v>
      </c>
      <c r="AT302" s="948">
        <f t="shared" si="669"/>
        <v>13.200000000000001</v>
      </c>
      <c r="AU302" s="948">
        <f t="shared" si="670"/>
        <v>13.200000000000001</v>
      </c>
      <c r="AV302" s="948">
        <f t="shared" si="671"/>
        <v>11.024000000000001</v>
      </c>
      <c r="AW302" s="948">
        <f t="shared" si="672"/>
        <v>11.024000000000001</v>
      </c>
      <c r="AX302" s="948">
        <f t="shared" si="673"/>
        <v>13.200000000000001</v>
      </c>
      <c r="AY302" s="948">
        <f t="shared" si="674"/>
        <v>13.200000000000001</v>
      </c>
      <c r="AZ302" s="948">
        <f t="shared" si="675"/>
        <v>136.47399999999999</v>
      </c>
      <c r="BA302" s="948">
        <f t="shared" si="676"/>
        <v>0</v>
      </c>
      <c r="BB302" s="948">
        <f t="shared" si="677"/>
        <v>0</v>
      </c>
      <c r="BC302" s="957">
        <f t="shared" si="678"/>
        <v>1.5786666666666667</v>
      </c>
      <c r="BD302" s="957">
        <f t="shared" si="678"/>
        <v>1.5786666666666667</v>
      </c>
      <c r="BE302" s="957">
        <f t="shared" si="678"/>
        <v>1.5786666666666667</v>
      </c>
      <c r="BF302" s="957">
        <f t="shared" si="678"/>
        <v>1.5786666666666667</v>
      </c>
      <c r="BG302" s="957">
        <f t="shared" si="678"/>
        <v>1.5786666666666667</v>
      </c>
      <c r="BH302" s="957">
        <f t="shared" si="678"/>
        <v>1.5786666666666667</v>
      </c>
      <c r="BI302" s="957">
        <f t="shared" si="678"/>
        <v>0.39466666666666667</v>
      </c>
      <c r="BJ302" s="957">
        <f t="shared" si="678"/>
        <v>0</v>
      </c>
      <c r="BK302" s="957">
        <f t="shared" si="678"/>
        <v>0</v>
      </c>
      <c r="BL302" s="948">
        <f t="shared" si="679"/>
        <v>20.8384</v>
      </c>
      <c r="BM302" s="948">
        <f t="shared" si="679"/>
        <v>20.8384</v>
      </c>
      <c r="BN302" s="948">
        <f t="shared" si="679"/>
        <v>17.403221333333335</v>
      </c>
      <c r="BO302" s="948">
        <f t="shared" si="679"/>
        <v>17.403221333333335</v>
      </c>
      <c r="BP302" s="948">
        <f t="shared" si="679"/>
        <v>20.8384</v>
      </c>
      <c r="BQ302" s="948">
        <f t="shared" si="679"/>
        <v>20.8384</v>
      </c>
      <c r="BR302" s="948">
        <f t="shared" si="679"/>
        <v>53.86173866666666</v>
      </c>
      <c r="BS302" s="948">
        <f>BB302*BK302</f>
        <v>0</v>
      </c>
      <c r="BT302" s="955">
        <f>SUM(BL302:BS302)/K302</f>
        <v>143.35148444444445</v>
      </c>
    </row>
    <row r="303" spans="1:72">
      <c r="A303" s="952"/>
      <c r="B303" s="952"/>
      <c r="C303" s="950"/>
      <c r="D303" s="950"/>
      <c r="E303" s="950"/>
      <c r="F303" s="948"/>
      <c r="G303" s="948"/>
      <c r="H303" s="948"/>
      <c r="I303" s="948"/>
      <c r="J303" s="948"/>
      <c r="K303" s="948"/>
      <c r="L303" s="948"/>
      <c r="M303" s="952"/>
      <c r="N303" s="948"/>
      <c r="O303" s="950"/>
      <c r="P303" s="950"/>
      <c r="Q303" s="950"/>
      <c r="R303" s="950"/>
      <c r="S303" s="950"/>
      <c r="T303" s="950"/>
      <c r="U303" s="950"/>
      <c r="V303" s="950"/>
      <c r="W303" s="950"/>
      <c r="X303" s="950"/>
      <c r="Y303" s="950"/>
      <c r="Z303" s="950"/>
      <c r="AA303" s="950"/>
      <c r="AB303" s="950"/>
      <c r="AC303" s="950"/>
      <c r="AD303" s="950"/>
      <c r="AE303" s="950"/>
      <c r="AF303" s="955"/>
      <c r="AG303" s="955"/>
      <c r="AH303" s="955"/>
      <c r="AI303" s="955"/>
      <c r="AJ303" s="955"/>
      <c r="AK303" s="948"/>
      <c r="AL303" s="948"/>
      <c r="AM303" s="948"/>
      <c r="AN303" s="948"/>
      <c r="AO303" s="948"/>
      <c r="AP303" s="948"/>
      <c r="AQ303" s="948"/>
      <c r="AR303" s="948"/>
      <c r="AS303" s="948"/>
      <c r="AT303" s="948"/>
      <c r="AU303" s="948"/>
      <c r="AV303" s="948"/>
      <c r="AW303" s="948"/>
      <c r="AX303" s="948"/>
      <c r="AY303" s="948"/>
      <c r="AZ303" s="948"/>
      <c r="BA303" s="948"/>
      <c r="BB303" s="948"/>
      <c r="BC303" s="957"/>
      <c r="BD303" s="957"/>
      <c r="BE303" s="957"/>
      <c r="BF303" s="957"/>
      <c r="BG303" s="957"/>
      <c r="BH303" s="957"/>
      <c r="BI303" s="957"/>
      <c r="BJ303" s="957"/>
      <c r="BK303" s="957"/>
      <c r="BL303" s="948"/>
      <c r="BM303" s="948"/>
      <c r="BN303" s="948"/>
      <c r="BO303" s="948"/>
      <c r="BP303" s="948"/>
      <c r="BQ303" s="948"/>
      <c r="BR303" s="948"/>
      <c r="BS303" s="948"/>
      <c r="BT303" s="955"/>
    </row>
    <row r="304" spans="1:72">
      <c r="A304" s="960" t="s">
        <v>8</v>
      </c>
      <c r="B304" s="960" t="s">
        <v>1104</v>
      </c>
      <c r="C304" s="950"/>
      <c r="D304" s="950"/>
      <c r="E304" s="950"/>
      <c r="F304" s="948"/>
      <c r="G304" s="948"/>
      <c r="H304" s="948"/>
      <c r="I304" s="948"/>
      <c r="J304" s="948"/>
      <c r="K304" s="948"/>
      <c r="L304" s="948"/>
      <c r="M304" s="952"/>
      <c r="N304" s="959" t="str">
        <f>A304</f>
        <v>B</v>
      </c>
      <c r="O304" s="959" t="str">
        <f>B304</f>
        <v>Horizontal</v>
      </c>
      <c r="P304" s="950"/>
      <c r="Q304" s="950"/>
      <c r="R304" s="950"/>
      <c r="S304" s="950"/>
      <c r="T304" s="950"/>
      <c r="U304" s="950"/>
      <c r="V304" s="950"/>
      <c r="W304" s="950"/>
      <c r="X304" s="950"/>
      <c r="Y304" s="950"/>
      <c r="Z304" s="950"/>
      <c r="AA304" s="950"/>
      <c r="AB304" s="950"/>
      <c r="AC304" s="950"/>
      <c r="AD304" s="950"/>
      <c r="AE304" s="950"/>
      <c r="AF304" s="955"/>
      <c r="AG304" s="955"/>
      <c r="AH304" s="955"/>
      <c r="AI304" s="955"/>
      <c r="AJ304" s="955"/>
      <c r="AK304" s="948"/>
      <c r="AL304" s="948"/>
      <c r="AM304" s="948"/>
      <c r="AN304" s="948"/>
      <c r="AO304" s="948"/>
      <c r="AP304" s="948"/>
      <c r="AQ304" s="948"/>
      <c r="AR304" s="948"/>
      <c r="AS304" s="948"/>
      <c r="AT304" s="948"/>
      <c r="AU304" s="948"/>
      <c r="AV304" s="948"/>
      <c r="AW304" s="948"/>
      <c r="AX304" s="948"/>
      <c r="AY304" s="948"/>
      <c r="AZ304" s="948"/>
      <c r="BA304" s="948"/>
      <c r="BB304" s="948"/>
      <c r="BC304" s="957"/>
      <c r="BD304" s="957"/>
      <c r="BE304" s="957"/>
      <c r="BF304" s="957"/>
      <c r="BG304" s="957"/>
      <c r="BH304" s="957"/>
      <c r="BI304" s="957"/>
      <c r="BJ304" s="957"/>
      <c r="BK304" s="957"/>
      <c r="BL304" s="948"/>
      <c r="BM304" s="948"/>
      <c r="BN304" s="948"/>
      <c r="BO304" s="948"/>
      <c r="BP304" s="948"/>
      <c r="BQ304" s="948"/>
      <c r="BR304" s="948"/>
      <c r="BS304" s="948"/>
      <c r="BT304" s="955"/>
    </row>
    <row r="305" spans="1:72">
      <c r="A305" s="952">
        <v>1</v>
      </c>
      <c r="B305" s="952" t="s">
        <v>1167</v>
      </c>
      <c r="C305" s="950" t="s">
        <v>1168</v>
      </c>
      <c r="D305" s="950">
        <v>1</v>
      </c>
      <c r="E305" s="950">
        <v>1</v>
      </c>
      <c r="F305" s="948">
        <v>8</v>
      </c>
      <c r="G305" s="948">
        <v>0.3</v>
      </c>
      <c r="H305" s="948">
        <v>0.7</v>
      </c>
      <c r="I305" s="948">
        <v>0.12</v>
      </c>
      <c r="J305" s="948">
        <f t="shared" ref="J305:J311" si="683">H305-I305</f>
        <v>0.57999999999999996</v>
      </c>
      <c r="K305" s="948">
        <f>F305*G305*J305*D305*E305</f>
        <v>1.3919999999999999</v>
      </c>
      <c r="L305" s="948">
        <f t="shared" ref="L305" si="684">(2*J305)*F305*E305*D305+(D305*E305*F305*G305)</f>
        <v>11.68</v>
      </c>
      <c r="M305" s="952"/>
      <c r="N305" s="950">
        <v>16</v>
      </c>
      <c r="O305" s="950">
        <v>16</v>
      </c>
      <c r="P305" s="950">
        <v>16</v>
      </c>
      <c r="Q305" s="950">
        <v>16</v>
      </c>
      <c r="R305" s="950">
        <v>16</v>
      </c>
      <c r="S305" s="950">
        <v>16</v>
      </c>
      <c r="T305" s="950">
        <v>8</v>
      </c>
      <c r="U305" s="950"/>
      <c r="V305" s="950"/>
      <c r="W305" s="950">
        <v>200</v>
      </c>
      <c r="X305" s="950">
        <v>100</v>
      </c>
      <c r="Y305" s="950">
        <v>100</v>
      </c>
      <c r="Z305" s="950">
        <v>4</v>
      </c>
      <c r="AA305" s="950">
        <v>4</v>
      </c>
      <c r="AB305" s="950">
        <v>2</v>
      </c>
      <c r="AC305" s="950">
        <v>2</v>
      </c>
      <c r="AD305" s="950">
        <v>4</v>
      </c>
      <c r="AE305" s="950">
        <v>4</v>
      </c>
      <c r="AF305" s="955">
        <f t="shared" ref="AF305:AF311" si="685">(F305/4)/(W305/1000)+1</f>
        <v>11</v>
      </c>
      <c r="AG305" s="955">
        <f t="shared" ref="AG305:AG311" si="686">(F305/2)/(X305/1000)+1</f>
        <v>41</v>
      </c>
      <c r="AH305" s="955">
        <f t="shared" ref="AH305:AH311" si="687">(F305/4)/(Y305/1000)+1</f>
        <v>21</v>
      </c>
      <c r="AI305" s="955">
        <v>0</v>
      </c>
      <c r="AJ305" s="955">
        <v>0</v>
      </c>
      <c r="AK305" s="948">
        <f t="shared" ref="AK305:AK311" si="688">(F305/4)+(20*N305/1000)+(10*N305/1000)+(8*N305/1000)+(6*2*N305/1000)</f>
        <v>2.8000000000000003</v>
      </c>
      <c r="AL305" s="948">
        <f t="shared" ref="AL305:AL311" si="689">(F305/4)+(20*O305/1000)+(10*O305/1000)+(8*O305/1000)+(6*2*O305/1000)</f>
        <v>2.8000000000000003</v>
      </c>
      <c r="AM305" s="948">
        <f t="shared" ref="AM305:AM311" si="690">(F305/2)+(20*P305/1000)+(6*2*P305/1000)</f>
        <v>4.5120000000000005</v>
      </c>
      <c r="AN305" s="948">
        <f t="shared" ref="AN305:AN311" si="691">(F305/2)+(20*Q305/1000)+(6*2*Q305/1000)</f>
        <v>4.5120000000000005</v>
      </c>
      <c r="AO305" s="948">
        <f t="shared" ref="AO305:AO311" si="692">(F305/4)+(20*R305/1000)+(10*R305/1000)+(8*R305/1000)+(6*2*R305/1000)</f>
        <v>2.8000000000000003</v>
      </c>
      <c r="AP305" s="948">
        <f t="shared" ref="AP305:AP311" si="693">(F305/4)+(20*S305/1000)+(10*S305/1000)+(8*S305/1000)+(6*2*S305/1000)</f>
        <v>2.8000000000000003</v>
      </c>
      <c r="AQ305" s="948">
        <f t="shared" ref="AQ305:AQ311" si="694">(2*G305)+(2*H305)+(6*T305/1000)-(8*0.03)</f>
        <v>1.8080000000000001</v>
      </c>
      <c r="AR305" s="948">
        <f t="shared" ref="AR305:AR311" si="695">((H305)+(2*6*U305/1000)-(2*0.03))*AI305</f>
        <v>0</v>
      </c>
      <c r="AS305" s="948">
        <f t="shared" ref="AS305:AS311" si="696">((G305)+(2*6*V305/1000)-(2*0.03))*AJ305</f>
        <v>0</v>
      </c>
      <c r="AT305" s="948">
        <f t="shared" ref="AT305:AT311" si="697">AK305*Z305*E305*D305</f>
        <v>11.200000000000001</v>
      </c>
      <c r="AU305" s="948">
        <f t="shared" ref="AU305:AU311" si="698">AL305*AA305*E305*D305</f>
        <v>11.200000000000001</v>
      </c>
      <c r="AV305" s="948">
        <f t="shared" ref="AV305:AV311" si="699">AM305*AB305*E305*D305</f>
        <v>9.0240000000000009</v>
      </c>
      <c r="AW305" s="948">
        <f t="shared" ref="AW305:AW311" si="700">AN305*AC305*E305*D305</f>
        <v>9.0240000000000009</v>
      </c>
      <c r="AX305" s="948">
        <f t="shared" ref="AX305:AX311" si="701">AO305*AD305*E305*D305</f>
        <v>11.200000000000001</v>
      </c>
      <c r="AY305" s="948">
        <f t="shared" ref="AY305:AY311" si="702">AP305*AE305*E305*D305</f>
        <v>11.200000000000001</v>
      </c>
      <c r="AZ305" s="948">
        <f t="shared" ref="AZ305:AZ311" si="703">AQ305*(AF305+AG305+AH305)*E305*D305</f>
        <v>131.98400000000001</v>
      </c>
      <c r="BA305" s="948">
        <f t="shared" ref="BA305:BA311" si="704">AR305*(AF305+AG305+AH305)*E305*D305</f>
        <v>0</v>
      </c>
      <c r="BB305" s="948">
        <f t="shared" ref="BB305:BB311" si="705">AS305*(AF305+AG305+AH305)*E305*D305</f>
        <v>0</v>
      </c>
      <c r="BC305" s="957">
        <f t="shared" ref="BC305:BK311" si="706">N305*N305*0.074/12</f>
        <v>1.5786666666666667</v>
      </c>
      <c r="BD305" s="957">
        <f t="shared" si="706"/>
        <v>1.5786666666666667</v>
      </c>
      <c r="BE305" s="957">
        <f t="shared" si="706"/>
        <v>1.5786666666666667</v>
      </c>
      <c r="BF305" s="957">
        <f t="shared" si="706"/>
        <v>1.5786666666666667</v>
      </c>
      <c r="BG305" s="957">
        <f t="shared" si="706"/>
        <v>1.5786666666666667</v>
      </c>
      <c r="BH305" s="957">
        <f t="shared" si="706"/>
        <v>1.5786666666666667</v>
      </c>
      <c r="BI305" s="957">
        <f t="shared" si="706"/>
        <v>0.39466666666666667</v>
      </c>
      <c r="BJ305" s="957">
        <f t="shared" si="706"/>
        <v>0</v>
      </c>
      <c r="BK305" s="957">
        <f t="shared" si="706"/>
        <v>0</v>
      </c>
      <c r="BL305" s="948">
        <f t="shared" ref="BL305:BR311" si="707">AT305*BC305</f>
        <v>17.68106666666667</v>
      </c>
      <c r="BM305" s="948">
        <f t="shared" si="707"/>
        <v>17.68106666666667</v>
      </c>
      <c r="BN305" s="948">
        <f t="shared" si="707"/>
        <v>14.245888000000001</v>
      </c>
      <c r="BO305" s="948">
        <f t="shared" si="707"/>
        <v>14.245888000000001</v>
      </c>
      <c r="BP305" s="948">
        <f t="shared" si="707"/>
        <v>17.68106666666667</v>
      </c>
      <c r="BQ305" s="948">
        <f t="shared" si="707"/>
        <v>17.68106666666667</v>
      </c>
      <c r="BR305" s="948">
        <f t="shared" si="707"/>
        <v>52.089685333333335</v>
      </c>
      <c r="BS305" s="948">
        <f t="shared" ref="BS305:BS311" si="708">BB305*BK305</f>
        <v>0</v>
      </c>
      <c r="BT305" s="955">
        <f t="shared" ref="BT305:BT311" si="709">SUM(BL305:BS305)/K305</f>
        <v>108.69664367816094</v>
      </c>
    </row>
    <row r="306" spans="1:72">
      <c r="A306" s="952">
        <v>2</v>
      </c>
      <c r="B306" s="952" t="s">
        <v>1186</v>
      </c>
      <c r="C306" s="950" t="s">
        <v>1187</v>
      </c>
      <c r="D306" s="950">
        <v>1</v>
      </c>
      <c r="E306" s="950">
        <v>1</v>
      </c>
      <c r="F306" s="948">
        <v>14</v>
      </c>
      <c r="G306" s="948">
        <v>0.3</v>
      </c>
      <c r="H306" s="948">
        <v>0.65</v>
      </c>
      <c r="I306" s="948">
        <v>0.12</v>
      </c>
      <c r="J306" s="948">
        <f t="shared" si="683"/>
        <v>0.53</v>
      </c>
      <c r="K306" s="948">
        <f t="shared" ref="K306:K311" si="710">F306*G306*J306*D306*E306</f>
        <v>2.2260000000000004</v>
      </c>
      <c r="L306" s="948">
        <f t="shared" ref="L306:L311" si="711">(2*J306)*F306*E306*D306</f>
        <v>14.84</v>
      </c>
      <c r="M306" s="952"/>
      <c r="N306" s="950">
        <v>16</v>
      </c>
      <c r="O306" s="950">
        <v>16</v>
      </c>
      <c r="P306" s="950">
        <v>16</v>
      </c>
      <c r="Q306" s="950">
        <v>16</v>
      </c>
      <c r="R306" s="950">
        <v>16</v>
      </c>
      <c r="S306" s="950">
        <v>16</v>
      </c>
      <c r="T306" s="950">
        <v>8</v>
      </c>
      <c r="U306" s="950"/>
      <c r="V306" s="950"/>
      <c r="W306" s="950">
        <v>200</v>
      </c>
      <c r="X306" s="950">
        <v>100</v>
      </c>
      <c r="Y306" s="950">
        <v>100</v>
      </c>
      <c r="Z306" s="950">
        <v>4</v>
      </c>
      <c r="AA306" s="950">
        <v>4</v>
      </c>
      <c r="AB306" s="950">
        <v>2</v>
      </c>
      <c r="AC306" s="950">
        <v>2</v>
      </c>
      <c r="AD306" s="950">
        <v>4</v>
      </c>
      <c r="AE306" s="950">
        <v>4</v>
      </c>
      <c r="AF306" s="955">
        <f t="shared" si="685"/>
        <v>18.5</v>
      </c>
      <c r="AG306" s="955">
        <f t="shared" si="686"/>
        <v>71</v>
      </c>
      <c r="AH306" s="955">
        <f t="shared" si="687"/>
        <v>36</v>
      </c>
      <c r="AI306" s="955">
        <v>0</v>
      </c>
      <c r="AJ306" s="955">
        <v>0</v>
      </c>
      <c r="AK306" s="948">
        <f t="shared" si="688"/>
        <v>4.3</v>
      </c>
      <c r="AL306" s="948">
        <f t="shared" si="689"/>
        <v>4.3</v>
      </c>
      <c r="AM306" s="948">
        <f t="shared" si="690"/>
        <v>7.5120000000000005</v>
      </c>
      <c r="AN306" s="948">
        <f t="shared" si="691"/>
        <v>7.5120000000000005</v>
      </c>
      <c r="AO306" s="948">
        <f t="shared" si="692"/>
        <v>4.3</v>
      </c>
      <c r="AP306" s="948">
        <f t="shared" si="693"/>
        <v>4.3</v>
      </c>
      <c r="AQ306" s="948">
        <f t="shared" si="694"/>
        <v>1.708</v>
      </c>
      <c r="AR306" s="948">
        <f t="shared" si="695"/>
        <v>0</v>
      </c>
      <c r="AS306" s="948">
        <f t="shared" si="696"/>
        <v>0</v>
      </c>
      <c r="AT306" s="948">
        <f t="shared" si="697"/>
        <v>17.2</v>
      </c>
      <c r="AU306" s="948">
        <f t="shared" si="698"/>
        <v>17.2</v>
      </c>
      <c r="AV306" s="948">
        <f t="shared" si="699"/>
        <v>15.024000000000001</v>
      </c>
      <c r="AW306" s="948">
        <f t="shared" si="700"/>
        <v>15.024000000000001</v>
      </c>
      <c r="AX306" s="948">
        <f t="shared" si="701"/>
        <v>17.2</v>
      </c>
      <c r="AY306" s="948">
        <f t="shared" si="702"/>
        <v>17.2</v>
      </c>
      <c r="AZ306" s="948">
        <f t="shared" si="703"/>
        <v>214.35399999999998</v>
      </c>
      <c r="BA306" s="948">
        <f t="shared" si="704"/>
        <v>0</v>
      </c>
      <c r="BB306" s="948">
        <f t="shared" si="705"/>
        <v>0</v>
      </c>
      <c r="BC306" s="957">
        <f t="shared" si="706"/>
        <v>1.5786666666666667</v>
      </c>
      <c r="BD306" s="957">
        <f t="shared" si="706"/>
        <v>1.5786666666666667</v>
      </c>
      <c r="BE306" s="957">
        <f t="shared" si="706"/>
        <v>1.5786666666666667</v>
      </c>
      <c r="BF306" s="957">
        <f t="shared" si="706"/>
        <v>1.5786666666666667</v>
      </c>
      <c r="BG306" s="957">
        <f t="shared" si="706"/>
        <v>1.5786666666666667</v>
      </c>
      <c r="BH306" s="957">
        <f t="shared" si="706"/>
        <v>1.5786666666666667</v>
      </c>
      <c r="BI306" s="957">
        <f t="shared" si="706"/>
        <v>0.39466666666666667</v>
      </c>
      <c r="BJ306" s="957">
        <f t="shared" si="706"/>
        <v>0</v>
      </c>
      <c r="BK306" s="957">
        <f t="shared" si="706"/>
        <v>0</v>
      </c>
      <c r="BL306" s="948">
        <f t="shared" si="707"/>
        <v>27.153066666666664</v>
      </c>
      <c r="BM306" s="948">
        <f t="shared" si="707"/>
        <v>27.153066666666664</v>
      </c>
      <c r="BN306" s="948">
        <f t="shared" si="707"/>
        <v>23.717888000000002</v>
      </c>
      <c r="BO306" s="948">
        <f t="shared" si="707"/>
        <v>23.717888000000002</v>
      </c>
      <c r="BP306" s="948">
        <f t="shared" si="707"/>
        <v>27.153066666666664</v>
      </c>
      <c r="BQ306" s="948">
        <f t="shared" si="707"/>
        <v>27.153066666666664</v>
      </c>
      <c r="BR306" s="948">
        <f t="shared" si="707"/>
        <v>84.598378666666662</v>
      </c>
      <c r="BS306" s="948">
        <f t="shared" si="708"/>
        <v>0</v>
      </c>
      <c r="BT306" s="955">
        <f t="shared" si="709"/>
        <v>108.10710751722071</v>
      </c>
    </row>
    <row r="307" spans="1:72">
      <c r="A307" s="952">
        <v>2</v>
      </c>
      <c r="B307" s="952" t="s">
        <v>1188</v>
      </c>
      <c r="C307" s="950" t="s">
        <v>1189</v>
      </c>
      <c r="D307" s="950">
        <v>1</v>
      </c>
      <c r="E307" s="950">
        <v>1</v>
      </c>
      <c r="F307" s="948">
        <v>14</v>
      </c>
      <c r="G307" s="948">
        <v>0.3</v>
      </c>
      <c r="H307" s="948">
        <v>0.7</v>
      </c>
      <c r="I307" s="948">
        <v>0.12</v>
      </c>
      <c r="J307" s="948">
        <f t="shared" si="683"/>
        <v>0.57999999999999996</v>
      </c>
      <c r="K307" s="948">
        <f t="shared" si="710"/>
        <v>2.4359999999999999</v>
      </c>
      <c r="L307" s="948">
        <f t="shared" si="711"/>
        <v>16.239999999999998</v>
      </c>
      <c r="M307" s="952"/>
      <c r="N307" s="950">
        <v>16</v>
      </c>
      <c r="O307" s="950">
        <v>16</v>
      </c>
      <c r="P307" s="950">
        <v>16</v>
      </c>
      <c r="Q307" s="950">
        <v>16</v>
      </c>
      <c r="R307" s="950">
        <v>16</v>
      </c>
      <c r="S307" s="950">
        <v>16</v>
      </c>
      <c r="T307" s="950">
        <v>8</v>
      </c>
      <c r="U307" s="950"/>
      <c r="V307" s="950"/>
      <c r="W307" s="950">
        <v>200</v>
      </c>
      <c r="X307" s="950">
        <v>100</v>
      </c>
      <c r="Y307" s="950">
        <v>100</v>
      </c>
      <c r="Z307" s="950">
        <v>4</v>
      </c>
      <c r="AA307" s="950">
        <v>4</v>
      </c>
      <c r="AB307" s="950">
        <v>2</v>
      </c>
      <c r="AC307" s="950">
        <v>2</v>
      </c>
      <c r="AD307" s="950">
        <v>4</v>
      </c>
      <c r="AE307" s="950">
        <v>4</v>
      </c>
      <c r="AF307" s="955">
        <f t="shared" si="685"/>
        <v>18.5</v>
      </c>
      <c r="AG307" s="955">
        <f t="shared" si="686"/>
        <v>71</v>
      </c>
      <c r="AH307" s="955">
        <f t="shared" si="687"/>
        <v>36</v>
      </c>
      <c r="AI307" s="955">
        <v>0</v>
      </c>
      <c r="AJ307" s="955">
        <v>0</v>
      </c>
      <c r="AK307" s="948">
        <f t="shared" si="688"/>
        <v>4.3</v>
      </c>
      <c r="AL307" s="948">
        <f t="shared" si="689"/>
        <v>4.3</v>
      </c>
      <c r="AM307" s="948">
        <f t="shared" si="690"/>
        <v>7.5120000000000005</v>
      </c>
      <c r="AN307" s="948">
        <f t="shared" si="691"/>
        <v>7.5120000000000005</v>
      </c>
      <c r="AO307" s="948">
        <f t="shared" si="692"/>
        <v>4.3</v>
      </c>
      <c r="AP307" s="948">
        <f t="shared" si="693"/>
        <v>4.3</v>
      </c>
      <c r="AQ307" s="948">
        <f t="shared" si="694"/>
        <v>1.8080000000000001</v>
      </c>
      <c r="AR307" s="948">
        <f t="shared" si="695"/>
        <v>0</v>
      </c>
      <c r="AS307" s="948">
        <f t="shared" si="696"/>
        <v>0</v>
      </c>
      <c r="AT307" s="948">
        <f t="shared" si="697"/>
        <v>17.2</v>
      </c>
      <c r="AU307" s="948">
        <f t="shared" si="698"/>
        <v>17.2</v>
      </c>
      <c r="AV307" s="948">
        <f t="shared" si="699"/>
        <v>15.024000000000001</v>
      </c>
      <c r="AW307" s="948">
        <f t="shared" si="700"/>
        <v>15.024000000000001</v>
      </c>
      <c r="AX307" s="948">
        <f t="shared" si="701"/>
        <v>17.2</v>
      </c>
      <c r="AY307" s="948">
        <f t="shared" si="702"/>
        <v>17.2</v>
      </c>
      <c r="AZ307" s="948">
        <f t="shared" si="703"/>
        <v>226.904</v>
      </c>
      <c r="BA307" s="948">
        <f t="shared" si="704"/>
        <v>0</v>
      </c>
      <c r="BB307" s="948">
        <f t="shared" si="705"/>
        <v>0</v>
      </c>
      <c r="BC307" s="957">
        <f t="shared" si="706"/>
        <v>1.5786666666666667</v>
      </c>
      <c r="BD307" s="957">
        <f t="shared" si="706"/>
        <v>1.5786666666666667</v>
      </c>
      <c r="BE307" s="957">
        <f t="shared" si="706"/>
        <v>1.5786666666666667</v>
      </c>
      <c r="BF307" s="957">
        <f t="shared" si="706"/>
        <v>1.5786666666666667</v>
      </c>
      <c r="BG307" s="957">
        <f t="shared" si="706"/>
        <v>1.5786666666666667</v>
      </c>
      <c r="BH307" s="957">
        <f t="shared" si="706"/>
        <v>1.5786666666666667</v>
      </c>
      <c r="BI307" s="957">
        <f t="shared" si="706"/>
        <v>0.39466666666666667</v>
      </c>
      <c r="BJ307" s="957">
        <f t="shared" si="706"/>
        <v>0</v>
      </c>
      <c r="BK307" s="957">
        <f t="shared" si="706"/>
        <v>0</v>
      </c>
      <c r="BL307" s="948">
        <f t="shared" si="707"/>
        <v>27.153066666666664</v>
      </c>
      <c r="BM307" s="948">
        <f t="shared" si="707"/>
        <v>27.153066666666664</v>
      </c>
      <c r="BN307" s="948">
        <f t="shared" si="707"/>
        <v>23.717888000000002</v>
      </c>
      <c r="BO307" s="948">
        <f t="shared" si="707"/>
        <v>23.717888000000002</v>
      </c>
      <c r="BP307" s="948">
        <f t="shared" si="707"/>
        <v>27.153066666666664</v>
      </c>
      <c r="BQ307" s="948">
        <f t="shared" si="707"/>
        <v>27.153066666666664</v>
      </c>
      <c r="BR307" s="948">
        <f t="shared" si="707"/>
        <v>89.551445333333334</v>
      </c>
      <c r="BS307" s="948">
        <f t="shared" si="708"/>
        <v>0</v>
      </c>
      <c r="BT307" s="955">
        <f t="shared" si="709"/>
        <v>100.8208078817734</v>
      </c>
    </row>
    <row r="308" spans="1:72">
      <c r="A308" s="952">
        <v>3</v>
      </c>
      <c r="B308" s="952" t="s">
        <v>1170</v>
      </c>
      <c r="C308" s="950" t="s">
        <v>1190</v>
      </c>
      <c r="D308" s="950">
        <v>1</v>
      </c>
      <c r="E308" s="950">
        <v>1</v>
      </c>
      <c r="F308" s="948">
        <v>32</v>
      </c>
      <c r="G308" s="948">
        <v>0.3</v>
      </c>
      <c r="H308" s="948">
        <v>0.65</v>
      </c>
      <c r="I308" s="948">
        <v>0.12</v>
      </c>
      <c r="J308" s="948">
        <f t="shared" si="683"/>
        <v>0.53</v>
      </c>
      <c r="K308" s="948">
        <f t="shared" si="710"/>
        <v>5.0880000000000001</v>
      </c>
      <c r="L308" s="948">
        <f t="shared" si="711"/>
        <v>33.92</v>
      </c>
      <c r="M308" s="952"/>
      <c r="N308" s="950">
        <v>16</v>
      </c>
      <c r="O308" s="950">
        <v>16</v>
      </c>
      <c r="P308" s="950">
        <v>16</v>
      </c>
      <c r="Q308" s="950">
        <v>16</v>
      </c>
      <c r="R308" s="950">
        <v>16</v>
      </c>
      <c r="S308" s="950">
        <v>16</v>
      </c>
      <c r="T308" s="950">
        <v>8</v>
      </c>
      <c r="U308" s="950"/>
      <c r="V308" s="950"/>
      <c r="W308" s="950">
        <v>200</v>
      </c>
      <c r="X308" s="950">
        <v>100</v>
      </c>
      <c r="Y308" s="950">
        <v>100</v>
      </c>
      <c r="Z308" s="950">
        <v>9</v>
      </c>
      <c r="AA308" s="950">
        <v>6</v>
      </c>
      <c r="AB308" s="950">
        <v>4</v>
      </c>
      <c r="AC308" s="950">
        <v>4</v>
      </c>
      <c r="AD308" s="950">
        <v>9</v>
      </c>
      <c r="AE308" s="950">
        <v>6</v>
      </c>
      <c r="AF308" s="955">
        <f t="shared" si="685"/>
        <v>41</v>
      </c>
      <c r="AG308" s="955">
        <f t="shared" si="686"/>
        <v>161</v>
      </c>
      <c r="AH308" s="955">
        <f t="shared" si="687"/>
        <v>81</v>
      </c>
      <c r="AI308" s="955">
        <v>0</v>
      </c>
      <c r="AJ308" s="955">
        <v>0</v>
      </c>
      <c r="AK308" s="948">
        <f t="shared" si="688"/>
        <v>8.8000000000000007</v>
      </c>
      <c r="AL308" s="948">
        <f t="shared" si="689"/>
        <v>8.8000000000000007</v>
      </c>
      <c r="AM308" s="948">
        <f t="shared" si="690"/>
        <v>16.512</v>
      </c>
      <c r="AN308" s="948">
        <f t="shared" si="691"/>
        <v>16.512</v>
      </c>
      <c r="AO308" s="948">
        <f t="shared" si="692"/>
        <v>8.8000000000000007</v>
      </c>
      <c r="AP308" s="948">
        <f t="shared" si="693"/>
        <v>8.8000000000000007</v>
      </c>
      <c r="AQ308" s="948">
        <f t="shared" si="694"/>
        <v>1.708</v>
      </c>
      <c r="AR308" s="948">
        <f t="shared" si="695"/>
        <v>0</v>
      </c>
      <c r="AS308" s="948">
        <f t="shared" si="696"/>
        <v>0</v>
      </c>
      <c r="AT308" s="948">
        <f t="shared" si="697"/>
        <v>79.2</v>
      </c>
      <c r="AU308" s="948">
        <f t="shared" si="698"/>
        <v>52.800000000000004</v>
      </c>
      <c r="AV308" s="948">
        <f t="shared" si="699"/>
        <v>66.048000000000002</v>
      </c>
      <c r="AW308" s="948">
        <f t="shared" si="700"/>
        <v>66.048000000000002</v>
      </c>
      <c r="AX308" s="948">
        <f t="shared" si="701"/>
        <v>79.2</v>
      </c>
      <c r="AY308" s="948">
        <f t="shared" si="702"/>
        <v>52.800000000000004</v>
      </c>
      <c r="AZ308" s="948">
        <f t="shared" si="703"/>
        <v>483.36399999999998</v>
      </c>
      <c r="BA308" s="948">
        <f t="shared" si="704"/>
        <v>0</v>
      </c>
      <c r="BB308" s="948">
        <f t="shared" si="705"/>
        <v>0</v>
      </c>
      <c r="BC308" s="957">
        <f t="shared" si="706"/>
        <v>1.5786666666666667</v>
      </c>
      <c r="BD308" s="957">
        <f t="shared" si="706"/>
        <v>1.5786666666666667</v>
      </c>
      <c r="BE308" s="957">
        <f t="shared" si="706"/>
        <v>1.5786666666666667</v>
      </c>
      <c r="BF308" s="957">
        <f t="shared" si="706"/>
        <v>1.5786666666666667</v>
      </c>
      <c r="BG308" s="957">
        <f t="shared" si="706"/>
        <v>1.5786666666666667</v>
      </c>
      <c r="BH308" s="957">
        <f t="shared" si="706"/>
        <v>1.5786666666666667</v>
      </c>
      <c r="BI308" s="957">
        <f t="shared" si="706"/>
        <v>0.39466666666666667</v>
      </c>
      <c r="BJ308" s="957">
        <f t="shared" si="706"/>
        <v>0</v>
      </c>
      <c r="BK308" s="957">
        <f t="shared" si="706"/>
        <v>0</v>
      </c>
      <c r="BL308" s="948">
        <f t="shared" si="707"/>
        <v>125.0304</v>
      </c>
      <c r="BM308" s="948">
        <f t="shared" si="707"/>
        <v>83.3536</v>
      </c>
      <c r="BN308" s="948">
        <f t="shared" si="707"/>
        <v>104.267776</v>
      </c>
      <c r="BO308" s="948">
        <f t="shared" si="707"/>
        <v>104.267776</v>
      </c>
      <c r="BP308" s="948">
        <f t="shared" si="707"/>
        <v>125.0304</v>
      </c>
      <c r="BQ308" s="948">
        <f t="shared" si="707"/>
        <v>83.3536</v>
      </c>
      <c r="BR308" s="948">
        <f t="shared" si="707"/>
        <v>190.76765866666665</v>
      </c>
      <c r="BS308" s="948">
        <f t="shared" si="708"/>
        <v>0</v>
      </c>
      <c r="BT308" s="955">
        <f t="shared" si="709"/>
        <v>160.39135429769394</v>
      </c>
    </row>
    <row r="309" spans="1:72">
      <c r="A309" s="952">
        <v>4</v>
      </c>
      <c r="B309" s="952" t="s">
        <v>1183</v>
      </c>
      <c r="C309" s="950" t="s">
        <v>1191</v>
      </c>
      <c r="D309" s="950">
        <v>1</v>
      </c>
      <c r="E309" s="950">
        <v>1</v>
      </c>
      <c r="F309" s="948">
        <v>24</v>
      </c>
      <c r="G309" s="948">
        <v>0.3</v>
      </c>
      <c r="H309" s="948">
        <v>0.65</v>
      </c>
      <c r="I309" s="948">
        <v>0.12</v>
      </c>
      <c r="J309" s="948">
        <f t="shared" si="683"/>
        <v>0.53</v>
      </c>
      <c r="K309" s="948">
        <f t="shared" si="710"/>
        <v>3.8159999999999998</v>
      </c>
      <c r="L309" s="948">
        <f t="shared" si="711"/>
        <v>25.44</v>
      </c>
      <c r="M309" s="952"/>
      <c r="N309" s="950">
        <v>25</v>
      </c>
      <c r="O309" s="950">
        <v>25</v>
      </c>
      <c r="P309" s="950">
        <v>25</v>
      </c>
      <c r="Q309" s="950">
        <v>25</v>
      </c>
      <c r="R309" s="950">
        <v>25</v>
      </c>
      <c r="S309" s="950">
        <v>25</v>
      </c>
      <c r="T309" s="950">
        <v>8</v>
      </c>
      <c r="U309" s="950"/>
      <c r="V309" s="950"/>
      <c r="W309" s="950">
        <v>200</v>
      </c>
      <c r="X309" s="950">
        <v>100</v>
      </c>
      <c r="Y309" s="950">
        <v>100</v>
      </c>
      <c r="Z309" s="950">
        <v>9</v>
      </c>
      <c r="AA309" s="950">
        <v>6</v>
      </c>
      <c r="AB309" s="950">
        <v>4</v>
      </c>
      <c r="AC309" s="950">
        <v>4</v>
      </c>
      <c r="AD309" s="950">
        <v>9</v>
      </c>
      <c r="AE309" s="950">
        <v>6</v>
      </c>
      <c r="AF309" s="955">
        <f t="shared" si="685"/>
        <v>31</v>
      </c>
      <c r="AG309" s="955">
        <f t="shared" si="686"/>
        <v>121</v>
      </c>
      <c r="AH309" s="955">
        <f t="shared" si="687"/>
        <v>61</v>
      </c>
      <c r="AI309" s="955">
        <v>0</v>
      </c>
      <c r="AJ309" s="955">
        <v>0</v>
      </c>
      <c r="AK309" s="948">
        <f t="shared" si="688"/>
        <v>7.25</v>
      </c>
      <c r="AL309" s="948">
        <f t="shared" si="689"/>
        <v>7.25</v>
      </c>
      <c r="AM309" s="948">
        <f t="shared" si="690"/>
        <v>12.8</v>
      </c>
      <c r="AN309" s="948">
        <f t="shared" si="691"/>
        <v>12.8</v>
      </c>
      <c r="AO309" s="948">
        <f t="shared" si="692"/>
        <v>7.25</v>
      </c>
      <c r="AP309" s="948">
        <f t="shared" si="693"/>
        <v>7.25</v>
      </c>
      <c r="AQ309" s="948">
        <f t="shared" si="694"/>
        <v>1.708</v>
      </c>
      <c r="AR309" s="948">
        <f t="shared" si="695"/>
        <v>0</v>
      </c>
      <c r="AS309" s="948">
        <f t="shared" si="696"/>
        <v>0</v>
      </c>
      <c r="AT309" s="948">
        <f t="shared" si="697"/>
        <v>65.25</v>
      </c>
      <c r="AU309" s="948">
        <f t="shared" si="698"/>
        <v>43.5</v>
      </c>
      <c r="AV309" s="948">
        <f t="shared" si="699"/>
        <v>51.2</v>
      </c>
      <c r="AW309" s="948">
        <f t="shared" si="700"/>
        <v>51.2</v>
      </c>
      <c r="AX309" s="948">
        <f t="shared" si="701"/>
        <v>65.25</v>
      </c>
      <c r="AY309" s="948">
        <f t="shared" si="702"/>
        <v>43.5</v>
      </c>
      <c r="AZ309" s="948">
        <f t="shared" si="703"/>
        <v>363.80399999999997</v>
      </c>
      <c r="BA309" s="948">
        <f t="shared" si="704"/>
        <v>0</v>
      </c>
      <c r="BB309" s="948">
        <f t="shared" si="705"/>
        <v>0</v>
      </c>
      <c r="BC309" s="957">
        <f t="shared" si="706"/>
        <v>3.8541666666666665</v>
      </c>
      <c r="BD309" s="957">
        <f t="shared" si="706"/>
        <v>3.8541666666666665</v>
      </c>
      <c r="BE309" s="957">
        <f t="shared" si="706"/>
        <v>3.8541666666666665</v>
      </c>
      <c r="BF309" s="957">
        <f t="shared" si="706"/>
        <v>3.8541666666666665</v>
      </c>
      <c r="BG309" s="957">
        <f t="shared" si="706"/>
        <v>3.8541666666666665</v>
      </c>
      <c r="BH309" s="957">
        <f t="shared" si="706"/>
        <v>3.8541666666666665</v>
      </c>
      <c r="BI309" s="957">
        <f t="shared" si="706"/>
        <v>0.39466666666666667</v>
      </c>
      <c r="BJ309" s="957">
        <f t="shared" si="706"/>
        <v>0</v>
      </c>
      <c r="BK309" s="957">
        <f t="shared" si="706"/>
        <v>0</v>
      </c>
      <c r="BL309" s="948">
        <f t="shared" si="707"/>
        <v>251.484375</v>
      </c>
      <c r="BM309" s="948">
        <f t="shared" si="707"/>
        <v>167.65625</v>
      </c>
      <c r="BN309" s="948">
        <f t="shared" si="707"/>
        <v>197.33333333333334</v>
      </c>
      <c r="BO309" s="948">
        <f t="shared" si="707"/>
        <v>197.33333333333334</v>
      </c>
      <c r="BP309" s="948">
        <f t="shared" si="707"/>
        <v>251.484375</v>
      </c>
      <c r="BQ309" s="948">
        <f t="shared" si="707"/>
        <v>167.65625</v>
      </c>
      <c r="BR309" s="948">
        <f t="shared" si="707"/>
        <v>143.581312</v>
      </c>
      <c r="BS309" s="948">
        <f t="shared" si="708"/>
        <v>0</v>
      </c>
      <c r="BT309" s="955">
        <f t="shared" si="709"/>
        <v>360.72568885394833</v>
      </c>
    </row>
    <row r="310" spans="1:72">
      <c r="A310" s="952">
        <v>5</v>
      </c>
      <c r="B310" s="952" t="s">
        <v>1173</v>
      </c>
      <c r="C310" s="950" t="s">
        <v>1174</v>
      </c>
      <c r="D310" s="950">
        <v>1</v>
      </c>
      <c r="E310" s="950">
        <v>1</v>
      </c>
      <c r="F310" s="948">
        <v>5.4</v>
      </c>
      <c r="G310" s="948">
        <v>0.3</v>
      </c>
      <c r="H310" s="948">
        <v>0.65</v>
      </c>
      <c r="I310" s="948">
        <v>0.12</v>
      </c>
      <c r="J310" s="948">
        <f t="shared" si="683"/>
        <v>0.53</v>
      </c>
      <c r="K310" s="948">
        <f t="shared" si="710"/>
        <v>0.85860000000000014</v>
      </c>
      <c r="L310" s="948">
        <f t="shared" si="711"/>
        <v>5.7240000000000011</v>
      </c>
      <c r="M310" s="952"/>
      <c r="N310" s="950">
        <v>16</v>
      </c>
      <c r="O310" s="950">
        <v>16</v>
      </c>
      <c r="P310" s="950">
        <v>16</v>
      </c>
      <c r="Q310" s="950">
        <v>16</v>
      </c>
      <c r="R310" s="950">
        <v>16</v>
      </c>
      <c r="S310" s="950">
        <v>16</v>
      </c>
      <c r="T310" s="950">
        <v>8</v>
      </c>
      <c r="U310" s="950"/>
      <c r="V310" s="950"/>
      <c r="W310" s="950">
        <v>200</v>
      </c>
      <c r="X310" s="950">
        <v>100</v>
      </c>
      <c r="Y310" s="950">
        <v>100</v>
      </c>
      <c r="Z310" s="950">
        <v>9</v>
      </c>
      <c r="AA310" s="950">
        <v>6</v>
      </c>
      <c r="AB310" s="950">
        <v>4</v>
      </c>
      <c r="AC310" s="950">
        <v>4</v>
      </c>
      <c r="AD310" s="950">
        <v>9</v>
      </c>
      <c r="AE310" s="950">
        <v>6</v>
      </c>
      <c r="AF310" s="955">
        <f t="shared" si="685"/>
        <v>7.75</v>
      </c>
      <c r="AG310" s="955">
        <f t="shared" si="686"/>
        <v>28</v>
      </c>
      <c r="AH310" s="955">
        <f t="shared" si="687"/>
        <v>14.5</v>
      </c>
      <c r="AI310" s="955">
        <v>0</v>
      </c>
      <c r="AJ310" s="955">
        <v>0</v>
      </c>
      <c r="AK310" s="948">
        <f t="shared" si="688"/>
        <v>2.1500000000000004</v>
      </c>
      <c r="AL310" s="948">
        <f t="shared" si="689"/>
        <v>2.1500000000000004</v>
      </c>
      <c r="AM310" s="948">
        <f t="shared" si="690"/>
        <v>3.2120000000000002</v>
      </c>
      <c r="AN310" s="948">
        <f t="shared" si="691"/>
        <v>3.2120000000000002</v>
      </c>
      <c r="AO310" s="948">
        <f t="shared" si="692"/>
        <v>2.1500000000000004</v>
      </c>
      <c r="AP310" s="948">
        <f t="shared" si="693"/>
        <v>2.1500000000000004</v>
      </c>
      <c r="AQ310" s="948">
        <f t="shared" si="694"/>
        <v>1.708</v>
      </c>
      <c r="AR310" s="948">
        <f t="shared" si="695"/>
        <v>0</v>
      </c>
      <c r="AS310" s="948">
        <f t="shared" si="696"/>
        <v>0</v>
      </c>
      <c r="AT310" s="948">
        <f t="shared" si="697"/>
        <v>19.350000000000001</v>
      </c>
      <c r="AU310" s="948">
        <f t="shared" si="698"/>
        <v>12.900000000000002</v>
      </c>
      <c r="AV310" s="948">
        <f t="shared" si="699"/>
        <v>12.848000000000001</v>
      </c>
      <c r="AW310" s="948">
        <f t="shared" si="700"/>
        <v>12.848000000000001</v>
      </c>
      <c r="AX310" s="948">
        <f t="shared" si="701"/>
        <v>19.350000000000001</v>
      </c>
      <c r="AY310" s="948">
        <f t="shared" si="702"/>
        <v>12.900000000000002</v>
      </c>
      <c r="AZ310" s="948">
        <f t="shared" si="703"/>
        <v>85.826999999999998</v>
      </c>
      <c r="BA310" s="948">
        <f t="shared" si="704"/>
        <v>0</v>
      </c>
      <c r="BB310" s="948">
        <f t="shared" si="705"/>
        <v>0</v>
      </c>
      <c r="BC310" s="957">
        <f t="shared" si="706"/>
        <v>1.5786666666666667</v>
      </c>
      <c r="BD310" s="957">
        <f t="shared" si="706"/>
        <v>1.5786666666666667</v>
      </c>
      <c r="BE310" s="957">
        <f t="shared" si="706"/>
        <v>1.5786666666666667</v>
      </c>
      <c r="BF310" s="957">
        <f t="shared" si="706"/>
        <v>1.5786666666666667</v>
      </c>
      <c r="BG310" s="957">
        <f t="shared" si="706"/>
        <v>1.5786666666666667</v>
      </c>
      <c r="BH310" s="957">
        <f t="shared" si="706"/>
        <v>1.5786666666666667</v>
      </c>
      <c r="BI310" s="957">
        <f t="shared" si="706"/>
        <v>0.39466666666666667</v>
      </c>
      <c r="BJ310" s="957">
        <f t="shared" si="706"/>
        <v>0</v>
      </c>
      <c r="BK310" s="957">
        <f t="shared" si="706"/>
        <v>0</v>
      </c>
      <c r="BL310" s="948">
        <f t="shared" si="707"/>
        <v>30.547200000000004</v>
      </c>
      <c r="BM310" s="948">
        <f t="shared" si="707"/>
        <v>20.364800000000002</v>
      </c>
      <c r="BN310" s="948">
        <f t="shared" si="707"/>
        <v>20.282709333333333</v>
      </c>
      <c r="BO310" s="948">
        <f t="shared" si="707"/>
        <v>20.282709333333333</v>
      </c>
      <c r="BP310" s="948">
        <f t="shared" si="707"/>
        <v>30.547200000000004</v>
      </c>
      <c r="BQ310" s="948">
        <f t="shared" si="707"/>
        <v>20.364800000000002</v>
      </c>
      <c r="BR310" s="948">
        <f t="shared" si="707"/>
        <v>33.873055999999998</v>
      </c>
      <c r="BS310" s="948">
        <f t="shared" si="708"/>
        <v>0</v>
      </c>
      <c r="BT310" s="955">
        <f t="shared" si="709"/>
        <v>205.29055982607341</v>
      </c>
    </row>
    <row r="311" spans="1:72">
      <c r="A311" s="952">
        <v>6</v>
      </c>
      <c r="B311" s="952" t="s">
        <v>1192</v>
      </c>
      <c r="C311" s="950" t="s">
        <v>1193</v>
      </c>
      <c r="D311" s="950">
        <v>1</v>
      </c>
      <c r="E311" s="950">
        <v>1</v>
      </c>
      <c r="F311" s="948">
        <v>14</v>
      </c>
      <c r="G311" s="948">
        <v>0.3</v>
      </c>
      <c r="H311" s="948">
        <v>0.7</v>
      </c>
      <c r="I311" s="948">
        <v>0.12</v>
      </c>
      <c r="J311" s="948">
        <f t="shared" si="683"/>
        <v>0.57999999999999996</v>
      </c>
      <c r="K311" s="948">
        <f t="shared" si="710"/>
        <v>2.4359999999999999</v>
      </c>
      <c r="L311" s="948">
        <f t="shared" si="711"/>
        <v>16.239999999999998</v>
      </c>
      <c r="M311" s="952"/>
      <c r="N311" s="950">
        <v>25</v>
      </c>
      <c r="O311" s="950">
        <v>25</v>
      </c>
      <c r="P311" s="950">
        <v>25</v>
      </c>
      <c r="Q311" s="950">
        <v>25</v>
      </c>
      <c r="R311" s="950">
        <v>25</v>
      </c>
      <c r="S311" s="950">
        <v>25</v>
      </c>
      <c r="T311" s="950">
        <v>8</v>
      </c>
      <c r="U311" s="950"/>
      <c r="V311" s="950"/>
      <c r="W311" s="950">
        <v>200</v>
      </c>
      <c r="X311" s="950">
        <v>100</v>
      </c>
      <c r="Y311" s="950">
        <v>100</v>
      </c>
      <c r="Z311" s="950">
        <v>9</v>
      </c>
      <c r="AA311" s="950">
        <v>6</v>
      </c>
      <c r="AB311" s="950">
        <v>4</v>
      </c>
      <c r="AC311" s="950">
        <v>4</v>
      </c>
      <c r="AD311" s="950">
        <v>9</v>
      </c>
      <c r="AE311" s="950">
        <v>6</v>
      </c>
      <c r="AF311" s="955">
        <f t="shared" si="685"/>
        <v>18.5</v>
      </c>
      <c r="AG311" s="955">
        <f t="shared" si="686"/>
        <v>71</v>
      </c>
      <c r="AH311" s="955">
        <f t="shared" si="687"/>
        <v>36</v>
      </c>
      <c r="AI311" s="955">
        <v>0</v>
      </c>
      <c r="AJ311" s="955">
        <v>0</v>
      </c>
      <c r="AK311" s="948">
        <f t="shared" si="688"/>
        <v>4.75</v>
      </c>
      <c r="AL311" s="948">
        <f t="shared" si="689"/>
        <v>4.75</v>
      </c>
      <c r="AM311" s="948">
        <f t="shared" si="690"/>
        <v>7.8</v>
      </c>
      <c r="AN311" s="948">
        <f t="shared" si="691"/>
        <v>7.8</v>
      </c>
      <c r="AO311" s="948">
        <f t="shared" si="692"/>
        <v>4.75</v>
      </c>
      <c r="AP311" s="948">
        <f t="shared" si="693"/>
        <v>4.75</v>
      </c>
      <c r="AQ311" s="948">
        <f t="shared" si="694"/>
        <v>1.8080000000000001</v>
      </c>
      <c r="AR311" s="948">
        <f t="shared" si="695"/>
        <v>0</v>
      </c>
      <c r="AS311" s="948">
        <f t="shared" si="696"/>
        <v>0</v>
      </c>
      <c r="AT311" s="948">
        <f t="shared" si="697"/>
        <v>42.75</v>
      </c>
      <c r="AU311" s="948">
        <f t="shared" si="698"/>
        <v>28.5</v>
      </c>
      <c r="AV311" s="948">
        <f t="shared" si="699"/>
        <v>31.2</v>
      </c>
      <c r="AW311" s="948">
        <f t="shared" si="700"/>
        <v>31.2</v>
      </c>
      <c r="AX311" s="948">
        <f t="shared" si="701"/>
        <v>42.75</v>
      </c>
      <c r="AY311" s="948">
        <f t="shared" si="702"/>
        <v>28.5</v>
      </c>
      <c r="AZ311" s="948">
        <f t="shared" si="703"/>
        <v>226.904</v>
      </c>
      <c r="BA311" s="948">
        <f t="shared" si="704"/>
        <v>0</v>
      </c>
      <c r="BB311" s="948">
        <f t="shared" si="705"/>
        <v>0</v>
      </c>
      <c r="BC311" s="957">
        <f t="shared" si="706"/>
        <v>3.8541666666666665</v>
      </c>
      <c r="BD311" s="957">
        <f t="shared" si="706"/>
        <v>3.8541666666666665</v>
      </c>
      <c r="BE311" s="957">
        <f t="shared" si="706"/>
        <v>3.8541666666666665</v>
      </c>
      <c r="BF311" s="957">
        <f t="shared" si="706"/>
        <v>3.8541666666666665</v>
      </c>
      <c r="BG311" s="957">
        <f t="shared" si="706"/>
        <v>3.8541666666666665</v>
      </c>
      <c r="BH311" s="957">
        <f t="shared" si="706"/>
        <v>3.8541666666666665</v>
      </c>
      <c r="BI311" s="957">
        <f t="shared" si="706"/>
        <v>0.39466666666666667</v>
      </c>
      <c r="BJ311" s="957">
        <f t="shared" si="706"/>
        <v>0</v>
      </c>
      <c r="BK311" s="957">
        <f t="shared" si="706"/>
        <v>0</v>
      </c>
      <c r="BL311" s="948">
        <f t="shared" si="707"/>
        <v>164.765625</v>
      </c>
      <c r="BM311" s="948">
        <f t="shared" si="707"/>
        <v>109.84375</v>
      </c>
      <c r="BN311" s="948">
        <f t="shared" si="707"/>
        <v>120.24999999999999</v>
      </c>
      <c r="BO311" s="948">
        <f t="shared" si="707"/>
        <v>120.24999999999999</v>
      </c>
      <c r="BP311" s="948">
        <f t="shared" si="707"/>
        <v>164.765625</v>
      </c>
      <c r="BQ311" s="948">
        <f t="shared" si="707"/>
        <v>109.84375</v>
      </c>
      <c r="BR311" s="948">
        <f t="shared" si="707"/>
        <v>89.551445333333334</v>
      </c>
      <c r="BS311" s="948">
        <f t="shared" si="708"/>
        <v>0</v>
      </c>
      <c r="BT311" s="955">
        <f t="shared" si="709"/>
        <v>360.94835604816637</v>
      </c>
    </row>
    <row r="312" spans="1:72">
      <c r="A312" s="952">
        <v>7</v>
      </c>
      <c r="B312" s="952" t="s">
        <v>1177</v>
      </c>
      <c r="C312" s="950" t="s">
        <v>1099</v>
      </c>
      <c r="D312" s="950">
        <v>1</v>
      </c>
      <c r="E312" s="950">
        <v>1</v>
      </c>
      <c r="F312" s="948">
        <v>4.75</v>
      </c>
      <c r="G312" s="948">
        <v>0.25</v>
      </c>
      <c r="H312" s="948">
        <v>0.6</v>
      </c>
      <c r="I312" s="948">
        <v>0.12</v>
      </c>
      <c r="J312" s="948">
        <v>0.48</v>
      </c>
      <c r="K312" s="948">
        <v>0.64800000000000002</v>
      </c>
      <c r="L312" s="948">
        <v>5.1840000000000002</v>
      </c>
      <c r="M312" s="952"/>
      <c r="N312" s="950">
        <v>16</v>
      </c>
      <c r="O312" s="950">
        <v>16</v>
      </c>
      <c r="P312" s="950">
        <v>16</v>
      </c>
      <c r="Q312" s="950">
        <v>16</v>
      </c>
      <c r="R312" s="950">
        <v>16</v>
      </c>
      <c r="S312" s="950">
        <v>16</v>
      </c>
      <c r="T312" s="950">
        <v>8</v>
      </c>
      <c r="U312" s="950"/>
      <c r="V312" s="950"/>
      <c r="W312" s="950">
        <v>200</v>
      </c>
      <c r="X312" s="950">
        <v>100</v>
      </c>
      <c r="Y312" s="950">
        <v>100</v>
      </c>
      <c r="Z312" s="950">
        <v>9</v>
      </c>
      <c r="AA312" s="950">
        <v>6</v>
      </c>
      <c r="AB312" s="950">
        <v>4</v>
      </c>
      <c r="AC312" s="950">
        <v>4</v>
      </c>
      <c r="AD312" s="950">
        <v>9</v>
      </c>
      <c r="AE312" s="950">
        <v>6</v>
      </c>
      <c r="AF312" s="955">
        <v>7.75</v>
      </c>
      <c r="AG312" s="955">
        <v>28</v>
      </c>
      <c r="AH312" s="955">
        <v>14.5</v>
      </c>
      <c r="AI312" s="955">
        <v>0</v>
      </c>
      <c r="AJ312" s="955">
        <v>0</v>
      </c>
      <c r="AK312" s="948">
        <v>2.1500000000000004</v>
      </c>
      <c r="AL312" s="948">
        <v>2.1500000000000004</v>
      </c>
      <c r="AM312" s="948">
        <v>3.2120000000000002</v>
      </c>
      <c r="AN312" s="948">
        <v>3.2120000000000002</v>
      </c>
      <c r="AO312" s="948">
        <v>2.1500000000000004</v>
      </c>
      <c r="AP312" s="948">
        <v>2.1500000000000004</v>
      </c>
      <c r="AQ312" s="948">
        <v>1.508</v>
      </c>
      <c r="AR312" s="948">
        <v>0</v>
      </c>
      <c r="AS312" s="948">
        <v>0</v>
      </c>
      <c r="AT312" s="948">
        <v>19.350000000000001</v>
      </c>
      <c r="AU312" s="948">
        <v>12.900000000000002</v>
      </c>
      <c r="AV312" s="948">
        <v>12.848000000000001</v>
      </c>
      <c r="AW312" s="948">
        <v>12.848000000000001</v>
      </c>
      <c r="AX312" s="948">
        <v>19.350000000000001</v>
      </c>
      <c r="AY312" s="948">
        <v>12.900000000000002</v>
      </c>
      <c r="AZ312" s="948">
        <v>75.777000000000001</v>
      </c>
      <c r="BA312" s="948">
        <v>0</v>
      </c>
      <c r="BB312" s="948">
        <v>0</v>
      </c>
      <c r="BC312" s="957">
        <v>1.5786666666666667</v>
      </c>
      <c r="BD312" s="957">
        <v>1.5786666666666667</v>
      </c>
      <c r="BE312" s="957">
        <v>1.5786666666666667</v>
      </c>
      <c r="BF312" s="957">
        <v>1.5786666666666667</v>
      </c>
      <c r="BG312" s="957">
        <v>1.5786666666666667</v>
      </c>
      <c r="BH312" s="957">
        <v>1.5786666666666667</v>
      </c>
      <c r="BI312" s="957">
        <v>0.39466666666666667</v>
      </c>
      <c r="BJ312" s="957">
        <v>0</v>
      </c>
      <c r="BK312" s="957">
        <v>0</v>
      </c>
      <c r="BL312" s="948">
        <v>30.547200000000004</v>
      </c>
      <c r="BM312" s="948">
        <v>20.364800000000002</v>
      </c>
      <c r="BN312" s="948">
        <v>20.282709333333333</v>
      </c>
      <c r="BO312" s="948">
        <v>20.282709333333333</v>
      </c>
      <c r="BP312" s="948">
        <v>30.547200000000004</v>
      </c>
      <c r="BQ312" s="948">
        <v>20.364800000000002</v>
      </c>
      <c r="BR312" s="948">
        <v>29.906656000000002</v>
      </c>
      <c r="BS312" s="948">
        <v>0</v>
      </c>
      <c r="BT312" s="955">
        <v>265.88900411522633</v>
      </c>
    </row>
    <row r="313" spans="1:72">
      <c r="A313" s="952">
        <v>8</v>
      </c>
      <c r="B313" s="952" t="s">
        <v>1179</v>
      </c>
      <c r="C313" s="950" t="s">
        <v>1125</v>
      </c>
      <c r="D313" s="950">
        <v>1</v>
      </c>
      <c r="E313" s="950">
        <v>1</v>
      </c>
      <c r="F313" s="948">
        <v>8</v>
      </c>
      <c r="G313" s="948">
        <v>0.3</v>
      </c>
      <c r="H313" s="948">
        <v>0.65</v>
      </c>
      <c r="I313" s="948">
        <v>0.12</v>
      </c>
      <c r="J313" s="948">
        <f t="shared" ref="J313:J316" si="712">H313-I313</f>
        <v>0.53</v>
      </c>
      <c r="K313" s="948">
        <f t="shared" ref="K313:K316" si="713">F313*G313*J313*D313*E313</f>
        <v>1.272</v>
      </c>
      <c r="L313" s="948">
        <f t="shared" ref="L313:L316" si="714">(2*J313)*F313*E313*D313</f>
        <v>8.48</v>
      </c>
      <c r="M313" s="952"/>
      <c r="N313" s="950">
        <v>16</v>
      </c>
      <c r="O313" s="950">
        <v>16</v>
      </c>
      <c r="P313" s="950">
        <v>16</v>
      </c>
      <c r="Q313" s="950">
        <v>16</v>
      </c>
      <c r="R313" s="950">
        <v>16</v>
      </c>
      <c r="S313" s="950">
        <v>16</v>
      </c>
      <c r="T313" s="950">
        <v>8</v>
      </c>
      <c r="U313" s="950"/>
      <c r="V313" s="950"/>
      <c r="W313" s="950">
        <v>200</v>
      </c>
      <c r="X313" s="950">
        <v>100</v>
      </c>
      <c r="Y313" s="950">
        <v>100</v>
      </c>
      <c r="Z313" s="950">
        <v>9</v>
      </c>
      <c r="AA313" s="950">
        <v>6</v>
      </c>
      <c r="AB313" s="950">
        <v>4</v>
      </c>
      <c r="AC313" s="950">
        <v>4</v>
      </c>
      <c r="AD313" s="950">
        <v>9</v>
      </c>
      <c r="AE313" s="950">
        <v>6</v>
      </c>
      <c r="AF313" s="955">
        <f t="shared" ref="AF313:AF316" si="715">(F313/4)/(W313/1000)+1</f>
        <v>11</v>
      </c>
      <c r="AG313" s="955">
        <f t="shared" ref="AG313:AG316" si="716">(F313/2)/(X313/1000)+1</f>
        <v>41</v>
      </c>
      <c r="AH313" s="955">
        <f t="shared" ref="AH313:AH316" si="717">(F313/4)/(Y313/1000)+1</f>
        <v>21</v>
      </c>
      <c r="AI313" s="955">
        <v>0</v>
      </c>
      <c r="AJ313" s="955">
        <v>0</v>
      </c>
      <c r="AK313" s="948">
        <f t="shared" ref="AK313:AK316" si="718">(F313/4)+(20*N313/1000)+(10*N313/1000)+(8*N313/1000)+(6*2*N313/1000)</f>
        <v>2.8000000000000003</v>
      </c>
      <c r="AL313" s="948">
        <f t="shared" ref="AL313:AL316" si="719">(F313/4)+(20*O313/1000)+(10*O313/1000)+(8*O313/1000)+(6*2*O313/1000)</f>
        <v>2.8000000000000003</v>
      </c>
      <c r="AM313" s="948">
        <f t="shared" ref="AM313:AM316" si="720">(F313/2)+(20*P313/1000)+(6*2*P313/1000)</f>
        <v>4.5120000000000005</v>
      </c>
      <c r="AN313" s="948">
        <f t="shared" ref="AN313:AN316" si="721">(F313/2)+(20*Q313/1000)+(6*2*Q313/1000)</f>
        <v>4.5120000000000005</v>
      </c>
      <c r="AO313" s="948">
        <f t="shared" ref="AO313:AO316" si="722">(F313/4)+(20*R313/1000)+(10*R313/1000)+(8*R313/1000)+(6*2*R313/1000)</f>
        <v>2.8000000000000003</v>
      </c>
      <c r="AP313" s="948">
        <f t="shared" ref="AP313:AP316" si="723">(F313/4)+(20*S313/1000)+(10*S313/1000)+(8*S313/1000)+(6*2*S313/1000)</f>
        <v>2.8000000000000003</v>
      </c>
      <c r="AQ313" s="948">
        <f t="shared" ref="AQ313:AQ316" si="724">(2*G313)+(2*H313)+(6*T313/1000)-(8*0.03)</f>
        <v>1.708</v>
      </c>
      <c r="AR313" s="948">
        <f t="shared" ref="AR313:AR316" si="725">((H313)+(2*6*U313/1000)-(2*0.03))*AI313</f>
        <v>0</v>
      </c>
      <c r="AS313" s="948">
        <f t="shared" ref="AS313:AS316" si="726">((G313)+(2*6*V313/1000)-(2*0.03))*AJ313</f>
        <v>0</v>
      </c>
      <c r="AT313" s="948">
        <f t="shared" ref="AT313:AT316" si="727">AK313*Z313*E313*D313</f>
        <v>25.200000000000003</v>
      </c>
      <c r="AU313" s="948">
        <f t="shared" ref="AU313:AU316" si="728">AL313*AA313*E313*D313</f>
        <v>16.8</v>
      </c>
      <c r="AV313" s="948">
        <f t="shared" ref="AV313:AV316" si="729">AM313*AB313*E313*D313</f>
        <v>18.048000000000002</v>
      </c>
      <c r="AW313" s="948">
        <f t="shared" ref="AW313:AW316" si="730">AN313*AC313*E313*D313</f>
        <v>18.048000000000002</v>
      </c>
      <c r="AX313" s="948">
        <f t="shared" ref="AX313:AX316" si="731">AO313*AD313*E313*D313</f>
        <v>25.200000000000003</v>
      </c>
      <c r="AY313" s="948">
        <f t="shared" ref="AY313:AY316" si="732">AP313*AE313*E313*D313</f>
        <v>16.8</v>
      </c>
      <c r="AZ313" s="948">
        <f t="shared" ref="AZ313:AZ316" si="733">AQ313*(AF313+AG313+AH313)*E313*D313</f>
        <v>124.684</v>
      </c>
      <c r="BA313" s="948">
        <f t="shared" ref="BA313:BA316" si="734">AR313*(AF313+AG313+AH313)*E313*D313</f>
        <v>0</v>
      </c>
      <c r="BB313" s="948">
        <f t="shared" ref="BB313:BB316" si="735">AS313*(AF313+AG313+AH313)*E313*D313</f>
        <v>0</v>
      </c>
      <c r="BC313" s="957">
        <f t="shared" ref="BC313:BK316" si="736">N313*N313*0.074/12</f>
        <v>1.5786666666666667</v>
      </c>
      <c r="BD313" s="957">
        <f t="shared" si="736"/>
        <v>1.5786666666666667</v>
      </c>
      <c r="BE313" s="957">
        <f t="shared" si="736"/>
        <v>1.5786666666666667</v>
      </c>
      <c r="BF313" s="957">
        <f t="shared" si="736"/>
        <v>1.5786666666666667</v>
      </c>
      <c r="BG313" s="957">
        <f t="shared" si="736"/>
        <v>1.5786666666666667</v>
      </c>
      <c r="BH313" s="957">
        <f t="shared" si="736"/>
        <v>1.5786666666666667</v>
      </c>
      <c r="BI313" s="957">
        <f t="shared" si="736"/>
        <v>0.39466666666666667</v>
      </c>
      <c r="BJ313" s="957">
        <f t="shared" si="736"/>
        <v>0</v>
      </c>
      <c r="BK313" s="957">
        <f t="shared" si="736"/>
        <v>0</v>
      </c>
      <c r="BL313" s="948">
        <f t="shared" ref="BL313:BR316" si="737">AT313*BC313</f>
        <v>39.782400000000003</v>
      </c>
      <c r="BM313" s="948">
        <f t="shared" si="737"/>
        <v>26.521599999999999</v>
      </c>
      <c r="BN313" s="948">
        <f t="shared" si="737"/>
        <v>28.491776000000002</v>
      </c>
      <c r="BO313" s="948">
        <f t="shared" si="737"/>
        <v>28.491776000000002</v>
      </c>
      <c r="BP313" s="948">
        <f t="shared" si="737"/>
        <v>39.782400000000003</v>
      </c>
      <c r="BQ313" s="948">
        <f t="shared" si="737"/>
        <v>26.521599999999999</v>
      </c>
      <c r="BR313" s="948">
        <f t="shared" si="737"/>
        <v>49.208618666666666</v>
      </c>
      <c r="BS313" s="948">
        <f>BB313*BK313</f>
        <v>0</v>
      </c>
      <c r="BT313" s="955">
        <f>SUM(BL313:BS313)/K313</f>
        <v>187.73598322851154</v>
      </c>
    </row>
    <row r="314" spans="1:72">
      <c r="A314" s="952">
        <v>9</v>
      </c>
      <c r="B314" s="952" t="s">
        <v>1180</v>
      </c>
      <c r="C314" s="950" t="s">
        <v>1127</v>
      </c>
      <c r="D314" s="950">
        <v>1</v>
      </c>
      <c r="E314" s="950">
        <v>1</v>
      </c>
      <c r="F314" s="948">
        <v>8.4</v>
      </c>
      <c r="G314" s="948">
        <v>0.3</v>
      </c>
      <c r="H314" s="948">
        <v>0.65</v>
      </c>
      <c r="I314" s="948">
        <v>0.12</v>
      </c>
      <c r="J314" s="948">
        <f t="shared" si="712"/>
        <v>0.53</v>
      </c>
      <c r="K314" s="948">
        <f t="shared" si="713"/>
        <v>1.3356000000000001</v>
      </c>
      <c r="L314" s="948">
        <f t="shared" si="714"/>
        <v>8.9040000000000017</v>
      </c>
      <c r="M314" s="952"/>
      <c r="N314" s="950">
        <v>16</v>
      </c>
      <c r="O314" s="950">
        <v>16</v>
      </c>
      <c r="P314" s="950">
        <v>16</v>
      </c>
      <c r="Q314" s="950">
        <v>16</v>
      </c>
      <c r="R314" s="950">
        <v>16</v>
      </c>
      <c r="S314" s="950">
        <v>16</v>
      </c>
      <c r="T314" s="950">
        <v>8</v>
      </c>
      <c r="U314" s="950"/>
      <c r="V314" s="950"/>
      <c r="W314" s="950">
        <v>200</v>
      </c>
      <c r="X314" s="950">
        <v>100</v>
      </c>
      <c r="Y314" s="950">
        <v>100</v>
      </c>
      <c r="Z314" s="950">
        <v>9</v>
      </c>
      <c r="AA314" s="950">
        <v>6</v>
      </c>
      <c r="AB314" s="950">
        <v>4</v>
      </c>
      <c r="AC314" s="950">
        <v>4</v>
      </c>
      <c r="AD314" s="950">
        <v>9</v>
      </c>
      <c r="AE314" s="950">
        <v>6</v>
      </c>
      <c r="AF314" s="955">
        <f t="shared" si="715"/>
        <v>11.5</v>
      </c>
      <c r="AG314" s="955">
        <f t="shared" si="716"/>
        <v>43</v>
      </c>
      <c r="AH314" s="955">
        <f t="shared" si="717"/>
        <v>22</v>
      </c>
      <c r="AI314" s="955">
        <v>0</v>
      </c>
      <c r="AJ314" s="955">
        <v>0</v>
      </c>
      <c r="AK314" s="948">
        <f t="shared" si="718"/>
        <v>2.9000000000000004</v>
      </c>
      <c r="AL314" s="948">
        <f t="shared" si="719"/>
        <v>2.9000000000000004</v>
      </c>
      <c r="AM314" s="948">
        <f t="shared" si="720"/>
        <v>4.7120000000000006</v>
      </c>
      <c r="AN314" s="948">
        <f t="shared" si="721"/>
        <v>4.7120000000000006</v>
      </c>
      <c r="AO314" s="948">
        <f t="shared" si="722"/>
        <v>2.9000000000000004</v>
      </c>
      <c r="AP314" s="948">
        <f t="shared" si="723"/>
        <v>2.9000000000000004</v>
      </c>
      <c r="AQ314" s="948">
        <f t="shared" si="724"/>
        <v>1.708</v>
      </c>
      <c r="AR314" s="948">
        <f t="shared" si="725"/>
        <v>0</v>
      </c>
      <c r="AS314" s="948">
        <f t="shared" si="726"/>
        <v>0</v>
      </c>
      <c r="AT314" s="948">
        <f t="shared" si="727"/>
        <v>26.1</v>
      </c>
      <c r="AU314" s="948">
        <f t="shared" si="728"/>
        <v>17.400000000000002</v>
      </c>
      <c r="AV314" s="948">
        <f t="shared" si="729"/>
        <v>18.848000000000003</v>
      </c>
      <c r="AW314" s="948">
        <f t="shared" si="730"/>
        <v>18.848000000000003</v>
      </c>
      <c r="AX314" s="948">
        <f t="shared" si="731"/>
        <v>26.1</v>
      </c>
      <c r="AY314" s="948">
        <f t="shared" si="732"/>
        <v>17.400000000000002</v>
      </c>
      <c r="AZ314" s="948">
        <f t="shared" si="733"/>
        <v>130.66200000000001</v>
      </c>
      <c r="BA314" s="948">
        <f t="shared" si="734"/>
        <v>0</v>
      </c>
      <c r="BB314" s="948">
        <f t="shared" si="735"/>
        <v>0</v>
      </c>
      <c r="BC314" s="957">
        <f t="shared" si="736"/>
        <v>1.5786666666666667</v>
      </c>
      <c r="BD314" s="957">
        <f t="shared" si="736"/>
        <v>1.5786666666666667</v>
      </c>
      <c r="BE314" s="957">
        <f t="shared" si="736"/>
        <v>1.5786666666666667</v>
      </c>
      <c r="BF314" s="957">
        <f t="shared" si="736"/>
        <v>1.5786666666666667</v>
      </c>
      <c r="BG314" s="957">
        <f t="shared" si="736"/>
        <v>1.5786666666666667</v>
      </c>
      <c r="BH314" s="957">
        <f t="shared" si="736"/>
        <v>1.5786666666666667</v>
      </c>
      <c r="BI314" s="957">
        <f t="shared" si="736"/>
        <v>0.39466666666666667</v>
      </c>
      <c r="BJ314" s="957">
        <f t="shared" si="736"/>
        <v>0</v>
      </c>
      <c r="BK314" s="957">
        <f t="shared" si="736"/>
        <v>0</v>
      </c>
      <c r="BL314" s="948">
        <f t="shared" si="737"/>
        <v>41.203200000000002</v>
      </c>
      <c r="BM314" s="948">
        <f t="shared" si="737"/>
        <v>27.468800000000002</v>
      </c>
      <c r="BN314" s="948">
        <f t="shared" si="737"/>
        <v>29.754709333333338</v>
      </c>
      <c r="BO314" s="948">
        <f t="shared" si="737"/>
        <v>29.754709333333338</v>
      </c>
      <c r="BP314" s="948">
        <f t="shared" si="737"/>
        <v>41.203200000000002</v>
      </c>
      <c r="BQ314" s="948">
        <f t="shared" si="737"/>
        <v>27.468800000000002</v>
      </c>
      <c r="BR314" s="948">
        <f t="shared" si="737"/>
        <v>51.567936000000003</v>
      </c>
      <c r="BS314" s="948">
        <f>BB314*BK314</f>
        <v>0</v>
      </c>
      <c r="BT314" s="955">
        <f>SUM(BL314:BS314)/K314</f>
        <v>185.99981631226916</v>
      </c>
    </row>
    <row r="315" spans="1:72">
      <c r="A315" s="952">
        <v>10</v>
      </c>
      <c r="B315" s="952" t="s">
        <v>1194</v>
      </c>
      <c r="C315" s="950" t="s">
        <v>1195</v>
      </c>
      <c r="D315" s="950">
        <v>1</v>
      </c>
      <c r="E315" s="950">
        <v>1</v>
      </c>
      <c r="F315" s="948">
        <v>12</v>
      </c>
      <c r="G315" s="948">
        <v>0.35</v>
      </c>
      <c r="H315" s="948">
        <v>0.8</v>
      </c>
      <c r="I315" s="948">
        <v>0.12</v>
      </c>
      <c r="J315" s="948">
        <f t="shared" si="712"/>
        <v>0.68</v>
      </c>
      <c r="K315" s="948">
        <f t="shared" si="713"/>
        <v>2.8559999999999999</v>
      </c>
      <c r="L315" s="948">
        <f t="shared" si="714"/>
        <v>16.32</v>
      </c>
      <c r="M315" s="952"/>
      <c r="N315" s="950">
        <v>25</v>
      </c>
      <c r="O315" s="950">
        <v>25</v>
      </c>
      <c r="P315" s="950">
        <v>25</v>
      </c>
      <c r="Q315" s="950">
        <v>25</v>
      </c>
      <c r="R315" s="950">
        <v>25</v>
      </c>
      <c r="S315" s="950">
        <v>25</v>
      </c>
      <c r="T315" s="950">
        <v>8</v>
      </c>
      <c r="U315" s="950"/>
      <c r="V315" s="950"/>
      <c r="W315" s="950">
        <v>200</v>
      </c>
      <c r="X315" s="950">
        <v>100</v>
      </c>
      <c r="Y315" s="950">
        <v>100</v>
      </c>
      <c r="Z315" s="950">
        <v>9</v>
      </c>
      <c r="AA315" s="950">
        <v>6</v>
      </c>
      <c r="AB315" s="950">
        <v>4</v>
      </c>
      <c r="AC315" s="950">
        <v>4</v>
      </c>
      <c r="AD315" s="950">
        <v>9</v>
      </c>
      <c r="AE315" s="950">
        <v>6</v>
      </c>
      <c r="AF315" s="955">
        <f t="shared" si="715"/>
        <v>16</v>
      </c>
      <c r="AG315" s="955">
        <f t="shared" si="716"/>
        <v>61</v>
      </c>
      <c r="AH315" s="955">
        <f t="shared" si="717"/>
        <v>31</v>
      </c>
      <c r="AI315" s="955">
        <v>0</v>
      </c>
      <c r="AJ315" s="955">
        <v>0</v>
      </c>
      <c r="AK315" s="948">
        <f t="shared" si="718"/>
        <v>4.25</v>
      </c>
      <c r="AL315" s="948">
        <f t="shared" si="719"/>
        <v>4.25</v>
      </c>
      <c r="AM315" s="948">
        <f t="shared" si="720"/>
        <v>6.8</v>
      </c>
      <c r="AN315" s="948">
        <f t="shared" si="721"/>
        <v>6.8</v>
      </c>
      <c r="AO315" s="948">
        <f t="shared" si="722"/>
        <v>4.25</v>
      </c>
      <c r="AP315" s="948">
        <f t="shared" si="723"/>
        <v>4.25</v>
      </c>
      <c r="AQ315" s="948">
        <f t="shared" si="724"/>
        <v>2.1079999999999997</v>
      </c>
      <c r="AR315" s="948">
        <f t="shared" si="725"/>
        <v>0</v>
      </c>
      <c r="AS315" s="948">
        <f t="shared" si="726"/>
        <v>0</v>
      </c>
      <c r="AT315" s="948">
        <f t="shared" si="727"/>
        <v>38.25</v>
      </c>
      <c r="AU315" s="948">
        <f t="shared" si="728"/>
        <v>25.5</v>
      </c>
      <c r="AV315" s="948">
        <f t="shared" si="729"/>
        <v>27.2</v>
      </c>
      <c r="AW315" s="948">
        <f t="shared" si="730"/>
        <v>27.2</v>
      </c>
      <c r="AX315" s="948">
        <f t="shared" si="731"/>
        <v>38.25</v>
      </c>
      <c r="AY315" s="948">
        <f t="shared" si="732"/>
        <v>25.5</v>
      </c>
      <c r="AZ315" s="948">
        <f t="shared" si="733"/>
        <v>227.66399999999996</v>
      </c>
      <c r="BA315" s="948">
        <f t="shared" si="734"/>
        <v>0</v>
      </c>
      <c r="BB315" s="948">
        <f t="shared" si="735"/>
        <v>0</v>
      </c>
      <c r="BC315" s="957">
        <f t="shared" si="736"/>
        <v>3.8541666666666665</v>
      </c>
      <c r="BD315" s="957">
        <f t="shared" si="736"/>
        <v>3.8541666666666665</v>
      </c>
      <c r="BE315" s="957">
        <f t="shared" si="736"/>
        <v>3.8541666666666665</v>
      </c>
      <c r="BF315" s="957">
        <f t="shared" si="736"/>
        <v>3.8541666666666665</v>
      </c>
      <c r="BG315" s="957">
        <f t="shared" si="736"/>
        <v>3.8541666666666665</v>
      </c>
      <c r="BH315" s="957">
        <f t="shared" si="736"/>
        <v>3.8541666666666665</v>
      </c>
      <c r="BI315" s="957">
        <f t="shared" si="736"/>
        <v>0.39466666666666667</v>
      </c>
      <c r="BJ315" s="957">
        <f t="shared" si="736"/>
        <v>0</v>
      </c>
      <c r="BK315" s="957">
        <f t="shared" si="736"/>
        <v>0</v>
      </c>
      <c r="BL315" s="948">
        <f t="shared" si="737"/>
        <v>147.421875</v>
      </c>
      <c r="BM315" s="948">
        <f t="shared" si="737"/>
        <v>98.28125</v>
      </c>
      <c r="BN315" s="948">
        <f t="shared" si="737"/>
        <v>104.83333333333333</v>
      </c>
      <c r="BO315" s="948">
        <f t="shared" si="737"/>
        <v>104.83333333333333</v>
      </c>
      <c r="BP315" s="948">
        <f t="shared" si="737"/>
        <v>147.421875</v>
      </c>
      <c r="BQ315" s="948">
        <f t="shared" si="737"/>
        <v>98.28125</v>
      </c>
      <c r="BR315" s="948">
        <f t="shared" si="737"/>
        <v>89.85139199999999</v>
      </c>
      <c r="BS315" s="948">
        <f>BB315*BK315</f>
        <v>0</v>
      </c>
      <c r="BT315" s="955">
        <f>SUM(BL315:BS315)/K315</f>
        <v>276.93428174603173</v>
      </c>
    </row>
    <row r="316" spans="1:72">
      <c r="A316" s="952">
        <v>11</v>
      </c>
      <c r="B316" s="952" t="s">
        <v>1196</v>
      </c>
      <c r="C316" s="950" t="s">
        <v>1197</v>
      </c>
      <c r="D316" s="950">
        <v>1</v>
      </c>
      <c r="E316" s="950">
        <v>1</v>
      </c>
      <c r="F316" s="948">
        <v>16</v>
      </c>
      <c r="G316" s="948">
        <v>0.3</v>
      </c>
      <c r="H316" s="948">
        <v>0.7</v>
      </c>
      <c r="I316" s="948">
        <v>0.12</v>
      </c>
      <c r="J316" s="948">
        <f t="shared" si="712"/>
        <v>0.57999999999999996</v>
      </c>
      <c r="K316" s="948">
        <f t="shared" si="713"/>
        <v>2.7839999999999998</v>
      </c>
      <c r="L316" s="948">
        <f t="shared" si="714"/>
        <v>18.559999999999999</v>
      </c>
      <c r="M316" s="952"/>
      <c r="N316" s="950">
        <v>16</v>
      </c>
      <c r="O316" s="950">
        <v>16</v>
      </c>
      <c r="P316" s="950">
        <v>16</v>
      </c>
      <c r="Q316" s="950">
        <v>16</v>
      </c>
      <c r="R316" s="950">
        <v>16</v>
      </c>
      <c r="S316" s="950">
        <v>16</v>
      </c>
      <c r="T316" s="950">
        <v>8</v>
      </c>
      <c r="U316" s="950"/>
      <c r="V316" s="950"/>
      <c r="W316" s="950">
        <v>200</v>
      </c>
      <c r="X316" s="950">
        <v>100</v>
      </c>
      <c r="Y316" s="950">
        <v>100</v>
      </c>
      <c r="Z316" s="950">
        <v>9</v>
      </c>
      <c r="AA316" s="950">
        <v>6</v>
      </c>
      <c r="AB316" s="950">
        <v>4</v>
      </c>
      <c r="AC316" s="950">
        <v>4</v>
      </c>
      <c r="AD316" s="950">
        <v>9</v>
      </c>
      <c r="AE316" s="950">
        <v>6</v>
      </c>
      <c r="AF316" s="955">
        <f t="shared" si="715"/>
        <v>21</v>
      </c>
      <c r="AG316" s="955">
        <f t="shared" si="716"/>
        <v>81</v>
      </c>
      <c r="AH316" s="955">
        <f t="shared" si="717"/>
        <v>41</v>
      </c>
      <c r="AI316" s="955">
        <v>0</v>
      </c>
      <c r="AJ316" s="955">
        <v>0</v>
      </c>
      <c r="AK316" s="948">
        <f t="shared" si="718"/>
        <v>4.8000000000000007</v>
      </c>
      <c r="AL316" s="948">
        <f t="shared" si="719"/>
        <v>4.8000000000000007</v>
      </c>
      <c r="AM316" s="948">
        <f t="shared" si="720"/>
        <v>8.5120000000000005</v>
      </c>
      <c r="AN316" s="948">
        <f t="shared" si="721"/>
        <v>8.5120000000000005</v>
      </c>
      <c r="AO316" s="948">
        <f t="shared" si="722"/>
        <v>4.8000000000000007</v>
      </c>
      <c r="AP316" s="948">
        <f t="shared" si="723"/>
        <v>4.8000000000000007</v>
      </c>
      <c r="AQ316" s="948">
        <f t="shared" si="724"/>
        <v>1.8080000000000001</v>
      </c>
      <c r="AR316" s="948">
        <f t="shared" si="725"/>
        <v>0</v>
      </c>
      <c r="AS316" s="948">
        <f t="shared" si="726"/>
        <v>0</v>
      </c>
      <c r="AT316" s="948">
        <f t="shared" si="727"/>
        <v>43.2</v>
      </c>
      <c r="AU316" s="948">
        <f t="shared" si="728"/>
        <v>28.800000000000004</v>
      </c>
      <c r="AV316" s="948">
        <f t="shared" si="729"/>
        <v>34.048000000000002</v>
      </c>
      <c r="AW316" s="948">
        <f t="shared" si="730"/>
        <v>34.048000000000002</v>
      </c>
      <c r="AX316" s="948">
        <f t="shared" si="731"/>
        <v>43.2</v>
      </c>
      <c r="AY316" s="948">
        <f t="shared" si="732"/>
        <v>28.800000000000004</v>
      </c>
      <c r="AZ316" s="948">
        <f t="shared" si="733"/>
        <v>258.54399999999998</v>
      </c>
      <c r="BA316" s="948">
        <f t="shared" si="734"/>
        <v>0</v>
      </c>
      <c r="BB316" s="948">
        <f t="shared" si="735"/>
        <v>0</v>
      </c>
      <c r="BC316" s="957">
        <f t="shared" si="736"/>
        <v>1.5786666666666667</v>
      </c>
      <c r="BD316" s="957">
        <f t="shared" si="736"/>
        <v>1.5786666666666667</v>
      </c>
      <c r="BE316" s="957">
        <f t="shared" si="736"/>
        <v>1.5786666666666667</v>
      </c>
      <c r="BF316" s="957">
        <f t="shared" si="736"/>
        <v>1.5786666666666667</v>
      </c>
      <c r="BG316" s="957">
        <f t="shared" si="736"/>
        <v>1.5786666666666667</v>
      </c>
      <c r="BH316" s="957">
        <f t="shared" si="736"/>
        <v>1.5786666666666667</v>
      </c>
      <c r="BI316" s="957">
        <f t="shared" si="736"/>
        <v>0.39466666666666667</v>
      </c>
      <c r="BJ316" s="957">
        <f t="shared" si="736"/>
        <v>0</v>
      </c>
      <c r="BK316" s="957">
        <f t="shared" si="736"/>
        <v>0</v>
      </c>
      <c r="BL316" s="948">
        <f t="shared" si="737"/>
        <v>68.198400000000007</v>
      </c>
      <c r="BM316" s="948">
        <f t="shared" si="737"/>
        <v>45.465600000000009</v>
      </c>
      <c r="BN316" s="948">
        <f t="shared" si="737"/>
        <v>53.750442666666672</v>
      </c>
      <c r="BO316" s="948">
        <f t="shared" si="737"/>
        <v>53.750442666666672</v>
      </c>
      <c r="BP316" s="948">
        <f t="shared" si="737"/>
        <v>68.198400000000007</v>
      </c>
      <c r="BQ316" s="948">
        <f t="shared" si="737"/>
        <v>45.465600000000009</v>
      </c>
      <c r="BR316" s="948">
        <f t="shared" si="737"/>
        <v>102.03869866666666</v>
      </c>
      <c r="BS316" s="948">
        <f>BB316*BK316</f>
        <v>0</v>
      </c>
      <c r="BT316" s="955">
        <f>SUM(BL316:BS316)/K316</f>
        <v>156.92082758620691</v>
      </c>
    </row>
    <row r="317" spans="1:72">
      <c r="A317" s="952"/>
      <c r="B317" s="952"/>
      <c r="C317" s="950"/>
      <c r="D317" s="950"/>
      <c r="E317" s="950"/>
      <c r="F317" s="948"/>
      <c r="G317" s="948"/>
      <c r="H317" s="948"/>
      <c r="I317" s="948"/>
      <c r="J317" s="948"/>
      <c r="K317" s="948">
        <f>SUM(K298:K316)</f>
        <v>68.524200000000022</v>
      </c>
      <c r="L317" s="948">
        <f>SUM(L298:L316)</f>
        <v>484.51200000000006</v>
      </c>
      <c r="M317" s="952"/>
      <c r="N317" s="950"/>
      <c r="O317" s="950"/>
      <c r="P317" s="950"/>
      <c r="Q317" s="950"/>
      <c r="R317" s="950"/>
      <c r="S317" s="950"/>
      <c r="T317" s="950"/>
      <c r="U317" s="950"/>
      <c r="V317" s="950"/>
      <c r="W317" s="950"/>
      <c r="X317" s="950"/>
      <c r="Y317" s="950"/>
      <c r="Z317" s="950"/>
      <c r="AA317" s="950"/>
      <c r="AB317" s="950"/>
      <c r="AC317" s="950"/>
      <c r="AD317" s="950"/>
      <c r="AE317" s="950"/>
      <c r="AF317" s="955"/>
      <c r="AG317" s="955"/>
      <c r="AH317" s="955"/>
      <c r="AI317" s="955"/>
      <c r="AJ317" s="955"/>
      <c r="AK317" s="948"/>
      <c r="AL317" s="948"/>
      <c r="AM317" s="948"/>
      <c r="AN317" s="948"/>
      <c r="AO317" s="948"/>
      <c r="AP317" s="948"/>
      <c r="AQ317" s="948"/>
      <c r="AR317" s="948"/>
      <c r="AS317" s="948"/>
      <c r="AT317" s="948"/>
      <c r="AU317" s="948"/>
      <c r="AV317" s="948"/>
      <c r="AW317" s="948"/>
      <c r="AX317" s="948"/>
      <c r="AY317" s="948"/>
      <c r="AZ317" s="948"/>
      <c r="BA317" s="948"/>
      <c r="BB317" s="948"/>
      <c r="BC317" s="957"/>
      <c r="BD317" s="957"/>
      <c r="BE317" s="957"/>
      <c r="BF317" s="957"/>
      <c r="BG317" s="957"/>
      <c r="BH317" s="957"/>
      <c r="BI317" s="957"/>
      <c r="BJ317" s="957"/>
      <c r="BK317" s="957"/>
      <c r="BL317" s="948"/>
      <c r="BM317" s="948"/>
      <c r="BN317" s="948"/>
      <c r="BO317" s="948"/>
      <c r="BP317" s="948"/>
      <c r="BQ317" s="948"/>
      <c r="BR317" s="948"/>
      <c r="BS317" s="948"/>
      <c r="BT317" s="955"/>
    </row>
    <row r="318" spans="1:72">
      <c r="A318" s="949" t="s">
        <v>66</v>
      </c>
      <c r="B318" s="949" t="s">
        <v>1050</v>
      </c>
      <c r="C318" s="949" t="s">
        <v>983</v>
      </c>
      <c r="D318" s="950" t="s">
        <v>1051</v>
      </c>
      <c r="E318" s="950" t="s">
        <v>1052</v>
      </c>
      <c r="F318" s="951" t="s">
        <v>984</v>
      </c>
      <c r="G318" s="951"/>
      <c r="H318" s="951"/>
      <c r="I318" s="948" t="s">
        <v>985</v>
      </c>
      <c r="J318" s="948" t="s">
        <v>1053</v>
      </c>
      <c r="K318" s="948" t="s">
        <v>392</v>
      </c>
      <c r="L318" s="948" t="s">
        <v>377</v>
      </c>
      <c r="M318" s="952"/>
      <c r="N318" s="949" t="s">
        <v>1054</v>
      </c>
      <c r="O318" s="949"/>
      <c r="P318" s="949"/>
      <c r="Q318" s="949"/>
      <c r="R318" s="949"/>
      <c r="S318" s="949"/>
      <c r="T318" s="949" t="s">
        <v>1055</v>
      </c>
      <c r="U318" s="949"/>
      <c r="V318" s="949"/>
      <c r="W318" s="949" t="s">
        <v>989</v>
      </c>
      <c r="X318" s="949"/>
      <c r="Y318" s="949"/>
      <c r="Z318" s="949" t="s">
        <v>1056</v>
      </c>
      <c r="AA318" s="949"/>
      <c r="AB318" s="949"/>
      <c r="AC318" s="949"/>
      <c r="AD318" s="949"/>
      <c r="AE318" s="949"/>
      <c r="AF318" s="953" t="s">
        <v>1057</v>
      </c>
      <c r="AG318" s="953"/>
      <c r="AH318" s="953"/>
      <c r="AI318" s="953"/>
      <c r="AJ318" s="953"/>
      <c r="AK318" s="951" t="s">
        <v>1058</v>
      </c>
      <c r="AL318" s="951"/>
      <c r="AM318" s="951"/>
      <c r="AN318" s="951"/>
      <c r="AO318" s="951"/>
      <c r="AP318" s="951"/>
      <c r="AQ318" s="951" t="s">
        <v>1059</v>
      </c>
      <c r="AR318" s="951"/>
      <c r="AS318" s="951"/>
      <c r="AT318" s="951" t="s">
        <v>1060</v>
      </c>
      <c r="AU318" s="951"/>
      <c r="AV318" s="951"/>
      <c r="AW318" s="951"/>
      <c r="AX318" s="951"/>
      <c r="AY318" s="951"/>
      <c r="AZ318" s="951" t="s">
        <v>1061</v>
      </c>
      <c r="BA318" s="951"/>
      <c r="BB318" s="951"/>
      <c r="BC318" s="954" t="s">
        <v>1062</v>
      </c>
      <c r="BD318" s="954"/>
      <c r="BE318" s="954"/>
      <c r="BF318" s="954"/>
      <c r="BG318" s="954"/>
      <c r="BH318" s="954"/>
      <c r="BI318" s="954" t="s">
        <v>996</v>
      </c>
      <c r="BJ318" s="954"/>
      <c r="BK318" s="954"/>
      <c r="BL318" s="951" t="s">
        <v>997</v>
      </c>
      <c r="BM318" s="951"/>
      <c r="BN318" s="951"/>
      <c r="BO318" s="951"/>
      <c r="BP318" s="951"/>
      <c r="BQ318" s="951"/>
      <c r="BR318" s="951"/>
      <c r="BS318" s="951"/>
      <c r="BT318" s="955" t="s">
        <v>998</v>
      </c>
    </row>
    <row r="319" spans="1:72">
      <c r="A319" s="949"/>
      <c r="B319" s="949"/>
      <c r="C319" s="949"/>
      <c r="D319" s="949" t="s">
        <v>1063</v>
      </c>
      <c r="E319" s="949" t="s">
        <v>391</v>
      </c>
      <c r="F319" s="948" t="s">
        <v>999</v>
      </c>
      <c r="G319" s="948" t="s">
        <v>1000</v>
      </c>
      <c r="H319" s="948" t="s">
        <v>1001</v>
      </c>
      <c r="I319" s="948" t="s">
        <v>1002</v>
      </c>
      <c r="J319" s="948" t="s">
        <v>1003</v>
      </c>
      <c r="K319" s="951" t="s">
        <v>1064</v>
      </c>
      <c r="L319" s="948"/>
      <c r="M319" s="952"/>
      <c r="N319" s="949" t="s">
        <v>1001</v>
      </c>
      <c r="O319" s="949"/>
      <c r="P319" s="949" t="s">
        <v>1000</v>
      </c>
      <c r="Q319" s="949"/>
      <c r="R319" s="949" t="s">
        <v>1001</v>
      </c>
      <c r="S319" s="949"/>
      <c r="T319" s="950" t="s">
        <v>1007</v>
      </c>
      <c r="U319" s="949" t="s">
        <v>1005</v>
      </c>
      <c r="V319" s="949"/>
      <c r="W319" s="949"/>
      <c r="X319" s="949" t="s">
        <v>1000</v>
      </c>
      <c r="Y319" s="949" t="s">
        <v>1001</v>
      </c>
      <c r="Z319" s="949" t="s">
        <v>1001</v>
      </c>
      <c r="AA319" s="949"/>
      <c r="AB319" s="949" t="s">
        <v>1000</v>
      </c>
      <c r="AC319" s="949"/>
      <c r="AD319" s="949" t="s">
        <v>1001</v>
      </c>
      <c r="AE319" s="949"/>
      <c r="AF319" s="953" t="s">
        <v>1004</v>
      </c>
      <c r="AG319" s="953"/>
      <c r="AH319" s="953"/>
      <c r="AI319" s="953" t="s">
        <v>1065</v>
      </c>
      <c r="AJ319" s="953"/>
      <c r="AK319" s="951" t="s">
        <v>1001</v>
      </c>
      <c r="AL319" s="951"/>
      <c r="AM319" s="951" t="s">
        <v>1000</v>
      </c>
      <c r="AN319" s="951"/>
      <c r="AO319" s="951" t="s">
        <v>1001</v>
      </c>
      <c r="AP319" s="951"/>
      <c r="AQ319" s="951" t="s">
        <v>1004</v>
      </c>
      <c r="AR319" s="951" t="s">
        <v>1005</v>
      </c>
      <c r="AS319" s="951"/>
      <c r="AT319" s="951" t="s">
        <v>1066</v>
      </c>
      <c r="AU319" s="951"/>
      <c r="AV319" s="951" t="s">
        <v>1000</v>
      </c>
      <c r="AW319" s="951"/>
      <c r="AX319" s="951" t="s">
        <v>1001</v>
      </c>
      <c r="AY319" s="951"/>
      <c r="AZ319" s="951" t="s">
        <v>1004</v>
      </c>
      <c r="BA319" s="951" t="s">
        <v>1005</v>
      </c>
      <c r="BB319" s="951"/>
      <c r="BC319" s="953" t="s">
        <v>1001</v>
      </c>
      <c r="BD319" s="953"/>
      <c r="BE319" s="953" t="s">
        <v>1000</v>
      </c>
      <c r="BF319" s="953"/>
      <c r="BG319" s="951" t="s">
        <v>1001</v>
      </c>
      <c r="BH319" s="951"/>
      <c r="BI319" s="956" t="s">
        <v>1004</v>
      </c>
      <c r="BJ319" s="954" t="s">
        <v>1005</v>
      </c>
      <c r="BK319" s="954"/>
      <c r="BL319" s="951" t="s">
        <v>1006</v>
      </c>
      <c r="BM319" s="951"/>
      <c r="BN319" s="951"/>
      <c r="BO319" s="951"/>
      <c r="BP319" s="951"/>
      <c r="BQ319" s="951"/>
      <c r="BR319" s="951" t="s">
        <v>1067</v>
      </c>
      <c r="BS319" s="951"/>
      <c r="BT319" s="953" t="s">
        <v>1068</v>
      </c>
    </row>
    <row r="320" spans="1:72">
      <c r="A320" s="949"/>
      <c r="B320" s="949"/>
      <c r="C320" s="949" t="s">
        <v>391</v>
      </c>
      <c r="D320" s="949"/>
      <c r="E320" s="949"/>
      <c r="F320" s="948" t="s">
        <v>1069</v>
      </c>
      <c r="G320" s="948" t="s">
        <v>1069</v>
      </c>
      <c r="H320" s="948" t="s">
        <v>1069</v>
      </c>
      <c r="I320" s="948" t="s">
        <v>1069</v>
      </c>
      <c r="J320" s="948" t="s">
        <v>1069</v>
      </c>
      <c r="K320" s="951"/>
      <c r="L320" s="948" t="s">
        <v>1070</v>
      </c>
      <c r="M320" s="952"/>
      <c r="N320" s="949"/>
      <c r="O320" s="949"/>
      <c r="P320" s="949"/>
      <c r="Q320" s="949"/>
      <c r="R320" s="949"/>
      <c r="S320" s="949"/>
      <c r="T320" s="950" t="s">
        <v>1071</v>
      </c>
      <c r="U320" s="950" t="s">
        <v>1012</v>
      </c>
      <c r="V320" s="950" t="s">
        <v>494</v>
      </c>
      <c r="W320" s="949"/>
      <c r="X320" s="949"/>
      <c r="Y320" s="949"/>
      <c r="Z320" s="949"/>
      <c r="AA320" s="949"/>
      <c r="AB320" s="949"/>
      <c r="AC320" s="949"/>
      <c r="AD320" s="949"/>
      <c r="AE320" s="949"/>
      <c r="AF320" s="955" t="s">
        <v>1001</v>
      </c>
      <c r="AG320" s="955" t="s">
        <v>1000</v>
      </c>
      <c r="AH320" s="955" t="s">
        <v>1001</v>
      </c>
      <c r="AI320" s="955" t="s">
        <v>1012</v>
      </c>
      <c r="AJ320" s="955" t="s">
        <v>494</v>
      </c>
      <c r="AK320" s="951"/>
      <c r="AL320" s="951"/>
      <c r="AM320" s="951"/>
      <c r="AN320" s="951"/>
      <c r="AO320" s="951"/>
      <c r="AP320" s="951"/>
      <c r="AQ320" s="951"/>
      <c r="AR320" s="948" t="s">
        <v>1012</v>
      </c>
      <c r="AS320" s="948" t="s">
        <v>494</v>
      </c>
      <c r="AT320" s="951"/>
      <c r="AU320" s="951"/>
      <c r="AV320" s="951"/>
      <c r="AW320" s="951"/>
      <c r="AX320" s="951"/>
      <c r="AY320" s="951"/>
      <c r="AZ320" s="951"/>
      <c r="BA320" s="948" t="s">
        <v>1012</v>
      </c>
      <c r="BB320" s="948" t="s">
        <v>494</v>
      </c>
      <c r="BC320" s="953"/>
      <c r="BD320" s="953"/>
      <c r="BE320" s="953"/>
      <c r="BF320" s="953"/>
      <c r="BG320" s="951"/>
      <c r="BH320" s="951"/>
      <c r="BI320" s="957"/>
      <c r="BJ320" s="957" t="s">
        <v>1012</v>
      </c>
      <c r="BK320" s="957" t="s">
        <v>494</v>
      </c>
      <c r="BL320" s="951" t="s">
        <v>1001</v>
      </c>
      <c r="BM320" s="951"/>
      <c r="BN320" s="951" t="s">
        <v>1000</v>
      </c>
      <c r="BO320" s="951"/>
      <c r="BP320" s="951" t="s">
        <v>1001</v>
      </c>
      <c r="BQ320" s="951"/>
      <c r="BR320" s="951" t="s">
        <v>1004</v>
      </c>
      <c r="BS320" s="948"/>
      <c r="BT320" s="953"/>
    </row>
    <row r="321" spans="1:72">
      <c r="A321" s="949"/>
      <c r="B321" s="949"/>
      <c r="C321" s="949"/>
      <c r="D321" s="950" t="s">
        <v>1072</v>
      </c>
      <c r="E321" s="950" t="s">
        <v>1073</v>
      </c>
      <c r="F321" s="948" t="s">
        <v>1074</v>
      </c>
      <c r="G321" s="948" t="s">
        <v>1075</v>
      </c>
      <c r="H321" s="948" t="s">
        <v>1076</v>
      </c>
      <c r="I321" s="948" t="s">
        <v>1077</v>
      </c>
      <c r="J321" s="948" t="s">
        <v>1078</v>
      </c>
      <c r="K321" s="948" t="s">
        <v>1079</v>
      </c>
      <c r="L321" s="948" t="s">
        <v>1080</v>
      </c>
      <c r="M321" s="952"/>
      <c r="N321" s="949" t="s">
        <v>1081</v>
      </c>
      <c r="O321" s="949"/>
      <c r="P321" s="949"/>
      <c r="Q321" s="949"/>
      <c r="R321" s="949"/>
      <c r="S321" s="949"/>
      <c r="T321" s="950" t="s">
        <v>1082</v>
      </c>
      <c r="U321" s="949" t="s">
        <v>1081</v>
      </c>
      <c r="V321" s="949"/>
      <c r="W321" s="949" t="s">
        <v>1081</v>
      </c>
      <c r="X321" s="949"/>
      <c r="Y321" s="949"/>
      <c r="Z321" s="949" t="s">
        <v>1082</v>
      </c>
      <c r="AA321" s="949"/>
      <c r="AB321" s="949"/>
      <c r="AC321" s="949"/>
      <c r="AD321" s="949"/>
      <c r="AE321" s="949"/>
      <c r="AF321" s="953" t="s">
        <v>1082</v>
      </c>
      <c r="AG321" s="953"/>
      <c r="AH321" s="953"/>
      <c r="AI321" s="953"/>
      <c r="AJ321" s="953"/>
      <c r="AK321" s="951" t="s">
        <v>1069</v>
      </c>
      <c r="AL321" s="951"/>
      <c r="AM321" s="951"/>
      <c r="AN321" s="951"/>
      <c r="AO321" s="951"/>
      <c r="AP321" s="951"/>
      <c r="AQ321" s="951"/>
      <c r="AR321" s="951"/>
      <c r="AS321" s="951"/>
      <c r="AT321" s="951"/>
      <c r="AU321" s="951"/>
      <c r="AV321" s="951"/>
      <c r="AW321" s="951"/>
      <c r="AX321" s="951"/>
      <c r="AY321" s="951"/>
      <c r="AZ321" s="951"/>
      <c r="BA321" s="951"/>
      <c r="BB321" s="951"/>
      <c r="BC321" s="954"/>
      <c r="BD321" s="954"/>
      <c r="BE321" s="954"/>
      <c r="BF321" s="954"/>
      <c r="BG321" s="954"/>
      <c r="BH321" s="954"/>
      <c r="BI321" s="954"/>
      <c r="BJ321" s="954"/>
      <c r="BK321" s="954"/>
      <c r="BL321" s="951"/>
      <c r="BM321" s="951"/>
      <c r="BN321" s="951"/>
      <c r="BO321" s="951"/>
      <c r="BP321" s="951"/>
      <c r="BQ321" s="951"/>
      <c r="BR321" s="951"/>
      <c r="BS321" s="948" t="s">
        <v>494</v>
      </c>
      <c r="BT321" s="953"/>
    </row>
    <row r="322" spans="1:72">
      <c r="A322" s="952"/>
      <c r="B322" s="952"/>
      <c r="C322" s="950"/>
      <c r="D322" s="950"/>
      <c r="E322" s="950"/>
      <c r="F322" s="948"/>
      <c r="G322" s="948"/>
      <c r="H322" s="948"/>
      <c r="I322" s="948"/>
      <c r="J322" s="948"/>
      <c r="K322" s="948"/>
      <c r="L322" s="948"/>
      <c r="M322" s="952"/>
      <c r="N322" s="950"/>
      <c r="O322" s="950"/>
      <c r="P322" s="950"/>
      <c r="Q322" s="950"/>
      <c r="R322" s="950"/>
      <c r="S322" s="950"/>
      <c r="T322" s="950"/>
      <c r="U322" s="950"/>
      <c r="V322" s="950"/>
      <c r="W322" s="950"/>
      <c r="X322" s="950"/>
      <c r="Y322" s="950"/>
      <c r="Z322" s="950"/>
      <c r="AA322" s="950"/>
      <c r="AB322" s="950"/>
      <c r="AC322" s="950"/>
      <c r="AD322" s="950"/>
      <c r="AE322" s="950"/>
      <c r="AF322" s="955"/>
      <c r="AG322" s="955"/>
      <c r="AH322" s="955"/>
      <c r="AI322" s="955"/>
      <c r="AJ322" s="955"/>
      <c r="AK322" s="948"/>
      <c r="AL322" s="948"/>
      <c r="AM322" s="948"/>
      <c r="AN322" s="948"/>
      <c r="AO322" s="948"/>
      <c r="AP322" s="948"/>
      <c r="AQ322" s="948"/>
      <c r="AR322" s="948"/>
      <c r="AS322" s="948"/>
      <c r="AT322" s="948"/>
      <c r="AU322" s="948"/>
      <c r="AV322" s="948"/>
      <c r="AW322" s="948"/>
      <c r="AX322" s="948"/>
      <c r="AY322" s="948"/>
      <c r="AZ322" s="948"/>
      <c r="BA322" s="948"/>
      <c r="BB322" s="948"/>
      <c r="BC322" s="957"/>
      <c r="BD322" s="957"/>
      <c r="BE322" s="957"/>
      <c r="BF322" s="957"/>
      <c r="BG322" s="957"/>
      <c r="BH322" s="957"/>
      <c r="BI322" s="957"/>
      <c r="BJ322" s="957"/>
      <c r="BK322" s="957"/>
      <c r="BL322" s="948"/>
      <c r="BM322" s="948"/>
      <c r="BN322" s="948"/>
      <c r="BO322" s="948"/>
      <c r="BP322" s="948"/>
      <c r="BQ322" s="948"/>
      <c r="BR322" s="948"/>
      <c r="BS322" s="948"/>
      <c r="BT322" s="955"/>
    </row>
    <row r="323" spans="1:72">
      <c r="A323" s="958" t="s">
        <v>1199</v>
      </c>
      <c r="B323" s="952"/>
      <c r="C323" s="950"/>
      <c r="D323" s="950"/>
      <c r="E323" s="950"/>
      <c r="F323" s="948"/>
      <c r="G323" s="948"/>
      <c r="H323" s="948"/>
      <c r="I323" s="948"/>
      <c r="J323" s="948"/>
      <c r="K323" s="948"/>
      <c r="L323" s="948"/>
      <c r="M323" s="952"/>
      <c r="N323" s="958" t="str">
        <f>A323</f>
        <v>Balok Lantai 10</v>
      </c>
      <c r="O323" s="950"/>
      <c r="P323" s="950"/>
      <c r="Q323" s="950"/>
      <c r="R323" s="950"/>
      <c r="S323" s="950"/>
      <c r="T323" s="950"/>
      <c r="U323" s="950"/>
      <c r="V323" s="950"/>
      <c r="W323" s="950"/>
      <c r="X323" s="950"/>
      <c r="Y323" s="950"/>
      <c r="Z323" s="950"/>
      <c r="AA323" s="950"/>
      <c r="AB323" s="950"/>
      <c r="AC323" s="950"/>
      <c r="AD323" s="950"/>
      <c r="AE323" s="950"/>
      <c r="AF323" s="955"/>
      <c r="AG323" s="955"/>
      <c r="AH323" s="955"/>
      <c r="AI323" s="955"/>
      <c r="AJ323" s="955"/>
      <c r="AK323" s="948"/>
      <c r="AL323" s="948"/>
      <c r="AM323" s="948"/>
      <c r="AN323" s="948"/>
      <c r="AO323" s="948"/>
      <c r="AP323" s="948"/>
      <c r="AQ323" s="948"/>
      <c r="AR323" s="948"/>
      <c r="AS323" s="948"/>
      <c r="AT323" s="948"/>
      <c r="AU323" s="948"/>
      <c r="AV323" s="948"/>
      <c r="AW323" s="948"/>
      <c r="AX323" s="948"/>
      <c r="AY323" s="948"/>
      <c r="AZ323" s="948"/>
      <c r="BA323" s="948"/>
      <c r="BB323" s="948"/>
      <c r="BC323" s="957"/>
      <c r="BD323" s="957"/>
      <c r="BE323" s="957"/>
      <c r="BF323" s="957"/>
      <c r="BG323" s="957"/>
      <c r="BH323" s="957"/>
      <c r="BI323" s="957"/>
      <c r="BJ323" s="957"/>
      <c r="BK323" s="957"/>
      <c r="BL323" s="948"/>
      <c r="BM323" s="948"/>
      <c r="BN323" s="948"/>
      <c r="BO323" s="948"/>
      <c r="BP323" s="948"/>
      <c r="BQ323" s="948"/>
      <c r="BR323" s="948"/>
      <c r="BS323" s="948"/>
      <c r="BT323" s="955"/>
    </row>
    <row r="324" spans="1:72">
      <c r="A324" s="960" t="s">
        <v>2</v>
      </c>
      <c r="B324" s="960" t="s">
        <v>1084</v>
      </c>
      <c r="C324" s="950"/>
      <c r="D324" s="950"/>
      <c r="E324" s="950"/>
      <c r="F324" s="948"/>
      <c r="G324" s="948"/>
      <c r="H324" s="948"/>
      <c r="I324" s="948"/>
      <c r="J324" s="948"/>
      <c r="K324" s="948"/>
      <c r="L324" s="948"/>
      <c r="M324" s="952"/>
      <c r="N324" s="959" t="str">
        <f>A324</f>
        <v>A</v>
      </c>
      <c r="O324" s="959" t="str">
        <f>B324</f>
        <v>Vertikal</v>
      </c>
      <c r="P324" s="950"/>
      <c r="Q324" s="950"/>
      <c r="R324" s="950"/>
      <c r="S324" s="950"/>
      <c r="T324" s="950"/>
      <c r="U324" s="950"/>
      <c r="V324" s="950"/>
      <c r="W324" s="950"/>
      <c r="X324" s="950"/>
      <c r="Y324" s="950"/>
      <c r="Z324" s="950"/>
      <c r="AA324" s="950"/>
      <c r="AB324" s="950"/>
      <c r="AC324" s="950"/>
      <c r="AD324" s="950"/>
      <c r="AE324" s="950"/>
      <c r="AF324" s="955"/>
      <c r="AG324" s="955"/>
      <c r="AH324" s="955"/>
      <c r="AI324" s="955"/>
      <c r="AJ324" s="955"/>
      <c r="AK324" s="948"/>
      <c r="AL324" s="948"/>
      <c r="AM324" s="948"/>
      <c r="AN324" s="948"/>
      <c r="AO324" s="948"/>
      <c r="AP324" s="948"/>
      <c r="AQ324" s="948"/>
      <c r="AR324" s="948"/>
      <c r="AS324" s="948"/>
      <c r="AT324" s="948"/>
      <c r="AU324" s="948"/>
      <c r="AV324" s="948"/>
      <c r="AW324" s="948"/>
      <c r="AX324" s="948"/>
      <c r="AY324" s="948"/>
      <c r="AZ324" s="948"/>
      <c r="BA324" s="948"/>
      <c r="BB324" s="948"/>
      <c r="BC324" s="957"/>
      <c r="BD324" s="957"/>
      <c r="BE324" s="957"/>
      <c r="BF324" s="957"/>
      <c r="BG324" s="957"/>
      <c r="BH324" s="957"/>
      <c r="BI324" s="957"/>
      <c r="BJ324" s="957"/>
      <c r="BK324" s="957"/>
      <c r="BL324" s="948"/>
      <c r="BM324" s="948"/>
      <c r="BN324" s="948"/>
      <c r="BO324" s="948"/>
      <c r="BP324" s="948"/>
      <c r="BQ324" s="948"/>
      <c r="BR324" s="948"/>
      <c r="BS324" s="948"/>
      <c r="BT324" s="955"/>
    </row>
    <row r="325" spans="1:72">
      <c r="A325" s="952">
        <v>1</v>
      </c>
      <c r="B325" s="952" t="s">
        <v>1161</v>
      </c>
      <c r="C325" s="950" t="s">
        <v>1185</v>
      </c>
      <c r="D325" s="950">
        <v>1</v>
      </c>
      <c r="E325" s="950">
        <v>1</v>
      </c>
      <c r="F325" s="948">
        <v>64</v>
      </c>
      <c r="G325" s="948">
        <v>0.3</v>
      </c>
      <c r="H325" s="948">
        <v>0.65</v>
      </c>
      <c r="I325" s="948">
        <v>0.12</v>
      </c>
      <c r="J325" s="948">
        <f t="shared" ref="J325" si="738">H325-I325</f>
        <v>0.53</v>
      </c>
      <c r="K325" s="948">
        <f>F325*G325*J325*D325*E325</f>
        <v>10.176</v>
      </c>
      <c r="L325" s="948">
        <f>(2*J325)*F325*E325*D325</f>
        <v>67.84</v>
      </c>
      <c r="M325" s="952"/>
      <c r="N325" s="950">
        <v>19</v>
      </c>
      <c r="O325" s="950">
        <v>19</v>
      </c>
      <c r="P325" s="950">
        <v>19</v>
      </c>
      <c r="Q325" s="950">
        <v>19</v>
      </c>
      <c r="R325" s="950">
        <v>19</v>
      </c>
      <c r="S325" s="950">
        <v>19</v>
      </c>
      <c r="T325" s="950">
        <v>8</v>
      </c>
      <c r="U325" s="950"/>
      <c r="V325" s="950"/>
      <c r="W325" s="950">
        <v>200</v>
      </c>
      <c r="X325" s="950">
        <v>100</v>
      </c>
      <c r="Y325" s="950">
        <v>100</v>
      </c>
      <c r="Z325" s="950">
        <v>4</v>
      </c>
      <c r="AA325" s="950">
        <v>4</v>
      </c>
      <c r="AB325" s="950">
        <v>2</v>
      </c>
      <c r="AC325" s="950">
        <v>2</v>
      </c>
      <c r="AD325" s="950">
        <v>4</v>
      </c>
      <c r="AE325" s="950">
        <v>4</v>
      </c>
      <c r="AF325" s="955">
        <f t="shared" ref="AF325:AF329" si="739">(F325/4)/(W325/1000)+1</f>
        <v>81</v>
      </c>
      <c r="AG325" s="955">
        <f t="shared" ref="AG325:AG329" si="740">(F325/2)/(X325/1000)+1</f>
        <v>321</v>
      </c>
      <c r="AH325" s="955">
        <f t="shared" ref="AH325:AH329" si="741">(F325/4)/(Y325/1000)+1</f>
        <v>161</v>
      </c>
      <c r="AI325" s="955">
        <v>0</v>
      </c>
      <c r="AJ325" s="955">
        <v>0</v>
      </c>
      <c r="AK325" s="948">
        <f t="shared" ref="AK325:AK329" si="742">(F325/4)+(20*N325/1000)+(10*N325/1000)+(8*N325/1000)+(6*2*N325/1000)</f>
        <v>16.950000000000003</v>
      </c>
      <c r="AL325" s="948">
        <f t="shared" ref="AL325:AL329" si="743">(F325/4)+(20*O325/1000)+(10*O325/1000)+(8*O325/1000)+(6*2*O325/1000)</f>
        <v>16.950000000000003</v>
      </c>
      <c r="AM325" s="948">
        <f t="shared" ref="AM325:AM329" si="744">(F325/2)+(20*P325/1000)+(6*2*P325/1000)</f>
        <v>32.608000000000004</v>
      </c>
      <c r="AN325" s="948">
        <f t="shared" ref="AN325:AN329" si="745">(F325/2)+(20*Q325/1000)+(6*2*Q325/1000)</f>
        <v>32.608000000000004</v>
      </c>
      <c r="AO325" s="948">
        <f t="shared" ref="AO325:AO329" si="746">(F325/4)+(20*R325/1000)+(10*R325/1000)+(8*R325/1000)+(6*2*R325/1000)</f>
        <v>16.950000000000003</v>
      </c>
      <c r="AP325" s="948">
        <f t="shared" ref="AP325:AP329" si="747">(F325/4)+(20*S325/1000)+(10*S325/1000)+(8*S325/1000)+(6*2*S325/1000)</f>
        <v>16.950000000000003</v>
      </c>
      <c r="AQ325" s="948">
        <f t="shared" ref="AQ325:AQ329" si="748">(2*G325)+(2*H325)+(6*T325/1000)-(8*0.03)</f>
        <v>1.708</v>
      </c>
      <c r="AR325" s="948">
        <f t="shared" ref="AR325:AR329" si="749">((H325)+(2*6*U325/1000)-(2*0.03))*AI325</f>
        <v>0</v>
      </c>
      <c r="AS325" s="948">
        <f t="shared" ref="AS325:AS329" si="750">((G325)+(2*6*V325/1000)-(2*0.03))*AJ325</f>
        <v>0</v>
      </c>
      <c r="AT325" s="948">
        <f t="shared" ref="AT325:AT329" si="751">AK325*Z325*E325*D325</f>
        <v>67.800000000000011</v>
      </c>
      <c r="AU325" s="948">
        <f t="shared" ref="AU325:AU329" si="752">AL325*AA325*E325*D325</f>
        <v>67.800000000000011</v>
      </c>
      <c r="AV325" s="948">
        <f t="shared" ref="AV325:AV329" si="753">AM325*AB325*E325*D325</f>
        <v>65.216000000000008</v>
      </c>
      <c r="AW325" s="948">
        <f t="shared" ref="AW325:AW329" si="754">AN325*AC325*E325*D325</f>
        <v>65.216000000000008</v>
      </c>
      <c r="AX325" s="948">
        <f t="shared" ref="AX325:AX329" si="755">AO325*AD325*E325*D325</f>
        <v>67.800000000000011</v>
      </c>
      <c r="AY325" s="948">
        <f t="shared" ref="AY325:AY329" si="756">AP325*AE325*E325*D325</f>
        <v>67.800000000000011</v>
      </c>
      <c r="AZ325" s="948">
        <f t="shared" ref="AZ325:AZ329" si="757">AQ325*(AF325+AG325+AH325)*E325*D325</f>
        <v>961.60399999999993</v>
      </c>
      <c r="BA325" s="948">
        <f t="shared" ref="BA325:BA329" si="758">AR325*(AF325+AG325+AH325)*E325*D325</f>
        <v>0</v>
      </c>
      <c r="BB325" s="948">
        <f t="shared" ref="BB325:BB329" si="759">AS325*(AF325+AG325+AH325)*E325*D325</f>
        <v>0</v>
      </c>
      <c r="BC325" s="957">
        <f t="shared" ref="BC325:BK329" si="760">N325*N325*0.074/12</f>
        <v>2.2261666666666664</v>
      </c>
      <c r="BD325" s="957">
        <f t="shared" si="760"/>
        <v>2.2261666666666664</v>
      </c>
      <c r="BE325" s="957">
        <f t="shared" si="760"/>
        <v>2.2261666666666664</v>
      </c>
      <c r="BF325" s="957">
        <f t="shared" si="760"/>
        <v>2.2261666666666664</v>
      </c>
      <c r="BG325" s="957">
        <f t="shared" si="760"/>
        <v>2.2261666666666664</v>
      </c>
      <c r="BH325" s="957">
        <f t="shared" si="760"/>
        <v>2.2261666666666664</v>
      </c>
      <c r="BI325" s="957">
        <f t="shared" si="760"/>
        <v>0.39466666666666667</v>
      </c>
      <c r="BJ325" s="957">
        <f t="shared" si="760"/>
        <v>0</v>
      </c>
      <c r="BK325" s="957">
        <f t="shared" si="760"/>
        <v>0</v>
      </c>
      <c r="BL325" s="948">
        <f t="shared" ref="BL325:BR329" si="761">AT325*BC325</f>
        <v>150.9341</v>
      </c>
      <c r="BM325" s="948">
        <f t="shared" si="761"/>
        <v>150.9341</v>
      </c>
      <c r="BN325" s="948">
        <f t="shared" si="761"/>
        <v>145.18168533333335</v>
      </c>
      <c r="BO325" s="948">
        <f t="shared" si="761"/>
        <v>145.18168533333335</v>
      </c>
      <c r="BP325" s="948">
        <f t="shared" si="761"/>
        <v>150.9341</v>
      </c>
      <c r="BQ325" s="948">
        <f t="shared" si="761"/>
        <v>150.9341</v>
      </c>
      <c r="BR325" s="948">
        <f t="shared" si="761"/>
        <v>379.51304533333331</v>
      </c>
      <c r="BS325" s="948">
        <f>BB325*BK325</f>
        <v>0</v>
      </c>
      <c r="BT325" s="955">
        <f>SUM(BL325:BS325)/K325</f>
        <v>125.15849213836478</v>
      </c>
    </row>
    <row r="326" spans="1:72">
      <c r="A326" s="952">
        <v>2</v>
      </c>
      <c r="B326" s="952" t="s">
        <v>1162</v>
      </c>
      <c r="C326" s="950" t="s">
        <v>1163</v>
      </c>
      <c r="D326" s="950">
        <v>1</v>
      </c>
      <c r="E326" s="950">
        <v>1</v>
      </c>
      <c r="F326" s="948">
        <v>64</v>
      </c>
      <c r="G326" s="948">
        <v>0.25</v>
      </c>
      <c r="H326" s="948">
        <v>0.6</v>
      </c>
      <c r="I326" s="948">
        <v>0.12</v>
      </c>
      <c r="J326" s="948">
        <f>H326-I326</f>
        <v>0.48</v>
      </c>
      <c r="K326" s="948">
        <f>F326*G326*J326*D326*E326</f>
        <v>7.68</v>
      </c>
      <c r="L326" s="948">
        <f>(2*J326)*F326*E326*D326</f>
        <v>61.44</v>
      </c>
      <c r="M326" s="952"/>
      <c r="N326" s="950">
        <v>16</v>
      </c>
      <c r="O326" s="950">
        <v>16</v>
      </c>
      <c r="P326" s="950">
        <v>16</v>
      </c>
      <c r="Q326" s="950">
        <v>16</v>
      </c>
      <c r="R326" s="950">
        <v>16</v>
      </c>
      <c r="S326" s="950">
        <v>16</v>
      </c>
      <c r="T326" s="950">
        <v>8</v>
      </c>
      <c r="U326" s="950"/>
      <c r="V326" s="950"/>
      <c r="W326" s="950">
        <v>200</v>
      </c>
      <c r="X326" s="950">
        <v>100</v>
      </c>
      <c r="Y326" s="950">
        <v>100</v>
      </c>
      <c r="Z326" s="950">
        <v>4</v>
      </c>
      <c r="AA326" s="950">
        <v>4</v>
      </c>
      <c r="AB326" s="950">
        <v>2</v>
      </c>
      <c r="AC326" s="950">
        <v>2</v>
      </c>
      <c r="AD326" s="950">
        <v>4</v>
      </c>
      <c r="AE326" s="950">
        <v>4</v>
      </c>
      <c r="AF326" s="955">
        <f t="shared" si="739"/>
        <v>81</v>
      </c>
      <c r="AG326" s="955">
        <f t="shared" si="740"/>
        <v>321</v>
      </c>
      <c r="AH326" s="955">
        <f t="shared" si="741"/>
        <v>161</v>
      </c>
      <c r="AI326" s="955">
        <v>0</v>
      </c>
      <c r="AJ326" s="955">
        <v>0</v>
      </c>
      <c r="AK326" s="948">
        <f t="shared" si="742"/>
        <v>16.8</v>
      </c>
      <c r="AL326" s="948">
        <f t="shared" si="743"/>
        <v>16.8</v>
      </c>
      <c r="AM326" s="948">
        <f t="shared" si="744"/>
        <v>32.512</v>
      </c>
      <c r="AN326" s="948">
        <f t="shared" si="745"/>
        <v>32.512</v>
      </c>
      <c r="AO326" s="948">
        <f t="shared" si="746"/>
        <v>16.8</v>
      </c>
      <c r="AP326" s="948">
        <f t="shared" si="747"/>
        <v>16.8</v>
      </c>
      <c r="AQ326" s="948">
        <f t="shared" si="748"/>
        <v>1.508</v>
      </c>
      <c r="AR326" s="948">
        <f t="shared" si="749"/>
        <v>0</v>
      </c>
      <c r="AS326" s="948">
        <f t="shared" si="750"/>
        <v>0</v>
      </c>
      <c r="AT326" s="948">
        <f t="shared" si="751"/>
        <v>67.2</v>
      </c>
      <c r="AU326" s="948">
        <f t="shared" si="752"/>
        <v>67.2</v>
      </c>
      <c r="AV326" s="948">
        <f t="shared" si="753"/>
        <v>65.024000000000001</v>
      </c>
      <c r="AW326" s="948">
        <f t="shared" si="754"/>
        <v>65.024000000000001</v>
      </c>
      <c r="AX326" s="948">
        <f t="shared" si="755"/>
        <v>67.2</v>
      </c>
      <c r="AY326" s="948">
        <f t="shared" si="756"/>
        <v>67.2</v>
      </c>
      <c r="AZ326" s="948">
        <f t="shared" si="757"/>
        <v>849.00400000000002</v>
      </c>
      <c r="BA326" s="948">
        <f t="shared" si="758"/>
        <v>0</v>
      </c>
      <c r="BB326" s="948">
        <f t="shared" si="759"/>
        <v>0</v>
      </c>
      <c r="BC326" s="957">
        <f t="shared" si="760"/>
        <v>1.5786666666666667</v>
      </c>
      <c r="BD326" s="957">
        <f t="shared" si="760"/>
        <v>1.5786666666666667</v>
      </c>
      <c r="BE326" s="957">
        <f t="shared" si="760"/>
        <v>1.5786666666666667</v>
      </c>
      <c r="BF326" s="957">
        <f t="shared" si="760"/>
        <v>1.5786666666666667</v>
      </c>
      <c r="BG326" s="957">
        <f t="shared" si="760"/>
        <v>1.5786666666666667</v>
      </c>
      <c r="BH326" s="957">
        <f t="shared" si="760"/>
        <v>1.5786666666666667</v>
      </c>
      <c r="BI326" s="957">
        <f t="shared" si="760"/>
        <v>0.39466666666666667</v>
      </c>
      <c r="BJ326" s="957">
        <f t="shared" si="760"/>
        <v>0</v>
      </c>
      <c r="BK326" s="957">
        <f t="shared" si="760"/>
        <v>0</v>
      </c>
      <c r="BL326" s="948">
        <f t="shared" si="761"/>
        <v>106.0864</v>
      </c>
      <c r="BM326" s="948">
        <f t="shared" si="761"/>
        <v>106.0864</v>
      </c>
      <c r="BN326" s="948">
        <f t="shared" si="761"/>
        <v>102.65122133333334</v>
      </c>
      <c r="BO326" s="948">
        <f t="shared" si="761"/>
        <v>102.65122133333334</v>
      </c>
      <c r="BP326" s="948">
        <f t="shared" si="761"/>
        <v>106.0864</v>
      </c>
      <c r="BQ326" s="948">
        <f t="shared" si="761"/>
        <v>106.0864</v>
      </c>
      <c r="BR326" s="948">
        <f t="shared" si="761"/>
        <v>335.07357866666666</v>
      </c>
      <c r="BS326" s="948">
        <f>BB326*BK326</f>
        <v>0</v>
      </c>
      <c r="BT326" s="955">
        <f>SUM(BL326:BS326)/K326</f>
        <v>125.61479444444446</v>
      </c>
    </row>
    <row r="327" spans="1:72">
      <c r="A327" s="952">
        <v>3</v>
      </c>
      <c r="B327" s="952" t="s">
        <v>1092</v>
      </c>
      <c r="C327" s="950" t="s">
        <v>1093</v>
      </c>
      <c r="D327" s="950">
        <v>1</v>
      </c>
      <c r="E327" s="950">
        <v>1</v>
      </c>
      <c r="F327" s="948">
        <v>80</v>
      </c>
      <c r="G327" s="948">
        <v>0.25</v>
      </c>
      <c r="H327" s="948">
        <v>0.6</v>
      </c>
      <c r="I327" s="948">
        <v>0.12</v>
      </c>
      <c r="J327" s="948">
        <f>H327-I327</f>
        <v>0.48</v>
      </c>
      <c r="K327" s="948">
        <f>F327*G327*J327*D327*E327</f>
        <v>9.6</v>
      </c>
      <c r="L327" s="948">
        <f>(2*J327)*F327*E327*D327</f>
        <v>76.8</v>
      </c>
      <c r="M327" s="952"/>
      <c r="N327" s="950">
        <v>16</v>
      </c>
      <c r="O327" s="950">
        <v>16</v>
      </c>
      <c r="P327" s="950">
        <v>16</v>
      </c>
      <c r="Q327" s="950">
        <v>16</v>
      </c>
      <c r="R327" s="950">
        <v>16</v>
      </c>
      <c r="S327" s="950">
        <v>16</v>
      </c>
      <c r="T327" s="950">
        <v>8</v>
      </c>
      <c r="U327" s="950"/>
      <c r="V327" s="950"/>
      <c r="W327" s="950">
        <v>200</v>
      </c>
      <c r="X327" s="950">
        <v>100</v>
      </c>
      <c r="Y327" s="950">
        <v>100</v>
      </c>
      <c r="Z327" s="950">
        <v>9</v>
      </c>
      <c r="AA327" s="950">
        <v>6</v>
      </c>
      <c r="AB327" s="950">
        <v>4</v>
      </c>
      <c r="AC327" s="950">
        <v>4</v>
      </c>
      <c r="AD327" s="950">
        <v>9</v>
      </c>
      <c r="AE327" s="950">
        <v>6</v>
      </c>
      <c r="AF327" s="955">
        <f t="shared" si="739"/>
        <v>101</v>
      </c>
      <c r="AG327" s="955">
        <f t="shared" si="740"/>
        <v>401</v>
      </c>
      <c r="AH327" s="955">
        <f t="shared" si="741"/>
        <v>201</v>
      </c>
      <c r="AI327" s="955">
        <v>0</v>
      </c>
      <c r="AJ327" s="955">
        <v>0</v>
      </c>
      <c r="AK327" s="948">
        <f t="shared" si="742"/>
        <v>20.8</v>
      </c>
      <c r="AL327" s="948">
        <f t="shared" si="743"/>
        <v>20.8</v>
      </c>
      <c r="AM327" s="948">
        <f t="shared" si="744"/>
        <v>40.512</v>
      </c>
      <c r="AN327" s="948">
        <f t="shared" si="745"/>
        <v>40.512</v>
      </c>
      <c r="AO327" s="948">
        <f t="shared" si="746"/>
        <v>20.8</v>
      </c>
      <c r="AP327" s="948">
        <f t="shared" si="747"/>
        <v>20.8</v>
      </c>
      <c r="AQ327" s="948">
        <f t="shared" si="748"/>
        <v>1.508</v>
      </c>
      <c r="AR327" s="948">
        <f t="shared" si="749"/>
        <v>0</v>
      </c>
      <c r="AS327" s="948">
        <f t="shared" si="750"/>
        <v>0</v>
      </c>
      <c r="AT327" s="948">
        <f t="shared" si="751"/>
        <v>187.20000000000002</v>
      </c>
      <c r="AU327" s="948">
        <f t="shared" si="752"/>
        <v>124.80000000000001</v>
      </c>
      <c r="AV327" s="948">
        <f t="shared" si="753"/>
        <v>162.048</v>
      </c>
      <c r="AW327" s="948">
        <f t="shared" si="754"/>
        <v>162.048</v>
      </c>
      <c r="AX327" s="948">
        <f t="shared" si="755"/>
        <v>187.20000000000002</v>
      </c>
      <c r="AY327" s="948">
        <f t="shared" si="756"/>
        <v>124.80000000000001</v>
      </c>
      <c r="AZ327" s="948">
        <f t="shared" si="757"/>
        <v>1060.124</v>
      </c>
      <c r="BA327" s="948">
        <f t="shared" si="758"/>
        <v>0</v>
      </c>
      <c r="BB327" s="948">
        <f t="shared" si="759"/>
        <v>0</v>
      </c>
      <c r="BC327" s="957">
        <f t="shared" si="760"/>
        <v>1.5786666666666667</v>
      </c>
      <c r="BD327" s="957">
        <f t="shared" si="760"/>
        <v>1.5786666666666667</v>
      </c>
      <c r="BE327" s="957">
        <f t="shared" si="760"/>
        <v>1.5786666666666667</v>
      </c>
      <c r="BF327" s="957">
        <f t="shared" si="760"/>
        <v>1.5786666666666667</v>
      </c>
      <c r="BG327" s="957">
        <f t="shared" si="760"/>
        <v>1.5786666666666667</v>
      </c>
      <c r="BH327" s="957">
        <f t="shared" si="760"/>
        <v>1.5786666666666667</v>
      </c>
      <c r="BI327" s="957">
        <f t="shared" si="760"/>
        <v>0.39466666666666667</v>
      </c>
      <c r="BJ327" s="957">
        <f t="shared" si="760"/>
        <v>0</v>
      </c>
      <c r="BK327" s="957">
        <f t="shared" si="760"/>
        <v>0</v>
      </c>
      <c r="BL327" s="948">
        <f t="shared" si="761"/>
        <v>295.52640000000002</v>
      </c>
      <c r="BM327" s="948">
        <f t="shared" si="761"/>
        <v>197.01760000000002</v>
      </c>
      <c r="BN327" s="948">
        <f t="shared" si="761"/>
        <v>255.81977599999999</v>
      </c>
      <c r="BO327" s="948">
        <f t="shared" si="761"/>
        <v>255.81977599999999</v>
      </c>
      <c r="BP327" s="948">
        <f t="shared" si="761"/>
        <v>295.52640000000002</v>
      </c>
      <c r="BQ327" s="948">
        <f t="shared" si="761"/>
        <v>197.01760000000002</v>
      </c>
      <c r="BR327" s="948">
        <f t="shared" si="761"/>
        <v>418.39560533333332</v>
      </c>
      <c r="BS327" s="948">
        <f>BB327*BK327</f>
        <v>0</v>
      </c>
      <c r="BT327" s="955">
        <f>SUM(BL327:BS327)/K327</f>
        <v>199.49199555555555</v>
      </c>
    </row>
    <row r="328" spans="1:72">
      <c r="A328" s="952">
        <v>4</v>
      </c>
      <c r="B328" s="952" t="s">
        <v>1164</v>
      </c>
      <c r="C328" s="950" t="s">
        <v>1165</v>
      </c>
      <c r="D328" s="950">
        <v>1</v>
      </c>
      <c r="E328" s="950">
        <v>1</v>
      </c>
      <c r="F328" s="948">
        <v>80</v>
      </c>
      <c r="G328" s="948">
        <v>0.3</v>
      </c>
      <c r="H328" s="948">
        <v>0.65</v>
      </c>
      <c r="I328" s="948">
        <v>0.12</v>
      </c>
      <c r="J328" s="948">
        <f>H328-I328</f>
        <v>0.53</v>
      </c>
      <c r="K328" s="948">
        <f>F328*G328*J328*D328*E328</f>
        <v>12.72</v>
      </c>
      <c r="L328" s="948">
        <f>(2*J328)*F328*E328*D328</f>
        <v>84.800000000000011</v>
      </c>
      <c r="M328" s="952"/>
      <c r="N328" s="950">
        <v>16</v>
      </c>
      <c r="O328" s="950">
        <v>16</v>
      </c>
      <c r="P328" s="950">
        <v>16</v>
      </c>
      <c r="Q328" s="950">
        <v>16</v>
      </c>
      <c r="R328" s="950">
        <v>16</v>
      </c>
      <c r="S328" s="950">
        <v>16</v>
      </c>
      <c r="T328" s="950">
        <v>8</v>
      </c>
      <c r="U328" s="950"/>
      <c r="V328" s="950"/>
      <c r="W328" s="950">
        <v>200</v>
      </c>
      <c r="X328" s="950">
        <v>100</v>
      </c>
      <c r="Y328" s="950">
        <v>100</v>
      </c>
      <c r="Z328" s="950">
        <v>4</v>
      </c>
      <c r="AA328" s="950">
        <v>4</v>
      </c>
      <c r="AB328" s="950">
        <v>2</v>
      </c>
      <c r="AC328" s="950">
        <v>2</v>
      </c>
      <c r="AD328" s="950">
        <v>4</v>
      </c>
      <c r="AE328" s="950">
        <v>4</v>
      </c>
      <c r="AF328" s="955">
        <f t="shared" si="739"/>
        <v>101</v>
      </c>
      <c r="AG328" s="955">
        <f t="shared" si="740"/>
        <v>401</v>
      </c>
      <c r="AH328" s="955">
        <f t="shared" si="741"/>
        <v>201</v>
      </c>
      <c r="AI328" s="955">
        <v>0</v>
      </c>
      <c r="AJ328" s="955">
        <v>0</v>
      </c>
      <c r="AK328" s="948">
        <f t="shared" si="742"/>
        <v>20.8</v>
      </c>
      <c r="AL328" s="948">
        <f t="shared" si="743"/>
        <v>20.8</v>
      </c>
      <c r="AM328" s="948">
        <f t="shared" si="744"/>
        <v>40.512</v>
      </c>
      <c r="AN328" s="948">
        <f t="shared" si="745"/>
        <v>40.512</v>
      </c>
      <c r="AO328" s="948">
        <f t="shared" si="746"/>
        <v>20.8</v>
      </c>
      <c r="AP328" s="948">
        <f t="shared" si="747"/>
        <v>20.8</v>
      </c>
      <c r="AQ328" s="948">
        <f t="shared" si="748"/>
        <v>1.708</v>
      </c>
      <c r="AR328" s="948">
        <f t="shared" si="749"/>
        <v>0</v>
      </c>
      <c r="AS328" s="948">
        <f t="shared" si="750"/>
        <v>0</v>
      </c>
      <c r="AT328" s="948">
        <f t="shared" si="751"/>
        <v>83.2</v>
      </c>
      <c r="AU328" s="948">
        <f t="shared" si="752"/>
        <v>83.2</v>
      </c>
      <c r="AV328" s="948">
        <f t="shared" si="753"/>
        <v>81.024000000000001</v>
      </c>
      <c r="AW328" s="948">
        <f t="shared" si="754"/>
        <v>81.024000000000001</v>
      </c>
      <c r="AX328" s="948">
        <f t="shared" si="755"/>
        <v>83.2</v>
      </c>
      <c r="AY328" s="948">
        <f t="shared" si="756"/>
        <v>83.2</v>
      </c>
      <c r="AZ328" s="948">
        <f t="shared" si="757"/>
        <v>1200.7239999999999</v>
      </c>
      <c r="BA328" s="948">
        <f t="shared" si="758"/>
        <v>0</v>
      </c>
      <c r="BB328" s="948">
        <f t="shared" si="759"/>
        <v>0</v>
      </c>
      <c r="BC328" s="957">
        <f t="shared" si="760"/>
        <v>1.5786666666666667</v>
      </c>
      <c r="BD328" s="957">
        <f t="shared" si="760"/>
        <v>1.5786666666666667</v>
      </c>
      <c r="BE328" s="957">
        <f t="shared" si="760"/>
        <v>1.5786666666666667</v>
      </c>
      <c r="BF328" s="957">
        <f t="shared" si="760"/>
        <v>1.5786666666666667</v>
      </c>
      <c r="BG328" s="957">
        <f t="shared" si="760"/>
        <v>1.5786666666666667</v>
      </c>
      <c r="BH328" s="957">
        <f t="shared" si="760"/>
        <v>1.5786666666666667</v>
      </c>
      <c r="BI328" s="957">
        <f t="shared" si="760"/>
        <v>0.39466666666666667</v>
      </c>
      <c r="BJ328" s="957">
        <f t="shared" si="760"/>
        <v>0</v>
      </c>
      <c r="BK328" s="957">
        <f t="shared" si="760"/>
        <v>0</v>
      </c>
      <c r="BL328" s="948">
        <f t="shared" si="761"/>
        <v>131.34506666666667</v>
      </c>
      <c r="BM328" s="948">
        <f t="shared" si="761"/>
        <v>131.34506666666667</v>
      </c>
      <c r="BN328" s="948">
        <f t="shared" si="761"/>
        <v>127.909888</v>
      </c>
      <c r="BO328" s="948">
        <f t="shared" si="761"/>
        <v>127.909888</v>
      </c>
      <c r="BP328" s="948">
        <f t="shared" si="761"/>
        <v>131.34506666666667</v>
      </c>
      <c r="BQ328" s="948">
        <f t="shared" si="761"/>
        <v>131.34506666666667</v>
      </c>
      <c r="BR328" s="948">
        <f t="shared" si="761"/>
        <v>473.88573866666661</v>
      </c>
      <c r="BS328" s="948">
        <f>BB328*BK328</f>
        <v>0</v>
      </c>
      <c r="BT328" s="955">
        <f>SUM(BL328:BS328)/K328</f>
        <v>98.670265828092226</v>
      </c>
    </row>
    <row r="329" spans="1:72">
      <c r="A329" s="952">
        <v>5</v>
      </c>
      <c r="B329" s="952" t="s">
        <v>1166</v>
      </c>
      <c r="C329" s="950" t="s">
        <v>1103</v>
      </c>
      <c r="D329" s="950">
        <v>1</v>
      </c>
      <c r="E329" s="950">
        <v>1</v>
      </c>
      <c r="F329" s="948">
        <v>10</v>
      </c>
      <c r="G329" s="948">
        <v>0.25</v>
      </c>
      <c r="H329" s="948">
        <v>0.6</v>
      </c>
      <c r="I329" s="948">
        <v>0.12</v>
      </c>
      <c r="J329" s="948">
        <f t="shared" ref="J329" si="762">H329-I329</f>
        <v>0.48</v>
      </c>
      <c r="K329" s="948">
        <f t="shared" ref="K329" si="763">F329*G329*J329*D329*E329</f>
        <v>1.2</v>
      </c>
      <c r="L329" s="948">
        <f t="shared" ref="L329" si="764">(2*J329)*F329*E329*D329+(D329*E329*F329*G329)</f>
        <v>12.1</v>
      </c>
      <c r="M329" s="952"/>
      <c r="N329" s="950">
        <v>16</v>
      </c>
      <c r="O329" s="950">
        <v>16</v>
      </c>
      <c r="P329" s="950">
        <v>16</v>
      </c>
      <c r="Q329" s="950">
        <v>16</v>
      </c>
      <c r="R329" s="950">
        <v>16</v>
      </c>
      <c r="S329" s="950">
        <v>16</v>
      </c>
      <c r="T329" s="950">
        <v>8</v>
      </c>
      <c r="U329" s="950"/>
      <c r="V329" s="950"/>
      <c r="W329" s="950">
        <v>200</v>
      </c>
      <c r="X329" s="950">
        <v>100</v>
      </c>
      <c r="Y329" s="950">
        <v>100</v>
      </c>
      <c r="Z329" s="950">
        <v>4</v>
      </c>
      <c r="AA329" s="950">
        <v>4</v>
      </c>
      <c r="AB329" s="950">
        <v>2</v>
      </c>
      <c r="AC329" s="950">
        <v>2</v>
      </c>
      <c r="AD329" s="950">
        <v>4</v>
      </c>
      <c r="AE329" s="950">
        <v>4</v>
      </c>
      <c r="AF329" s="955">
        <f t="shared" si="739"/>
        <v>13.5</v>
      </c>
      <c r="AG329" s="955">
        <f t="shared" si="740"/>
        <v>51</v>
      </c>
      <c r="AH329" s="955">
        <f t="shared" si="741"/>
        <v>26</v>
      </c>
      <c r="AI329" s="955">
        <v>0</v>
      </c>
      <c r="AJ329" s="955">
        <v>0</v>
      </c>
      <c r="AK329" s="948">
        <f t="shared" si="742"/>
        <v>3.3000000000000003</v>
      </c>
      <c r="AL329" s="948">
        <f t="shared" si="743"/>
        <v>3.3000000000000003</v>
      </c>
      <c r="AM329" s="948">
        <f t="shared" si="744"/>
        <v>5.5120000000000005</v>
      </c>
      <c r="AN329" s="948">
        <f t="shared" si="745"/>
        <v>5.5120000000000005</v>
      </c>
      <c r="AO329" s="948">
        <f t="shared" si="746"/>
        <v>3.3000000000000003</v>
      </c>
      <c r="AP329" s="948">
        <f t="shared" si="747"/>
        <v>3.3000000000000003</v>
      </c>
      <c r="AQ329" s="948">
        <f t="shared" si="748"/>
        <v>1.508</v>
      </c>
      <c r="AR329" s="948">
        <f t="shared" si="749"/>
        <v>0</v>
      </c>
      <c r="AS329" s="948">
        <f t="shared" si="750"/>
        <v>0</v>
      </c>
      <c r="AT329" s="948">
        <f t="shared" si="751"/>
        <v>13.200000000000001</v>
      </c>
      <c r="AU329" s="948">
        <f t="shared" si="752"/>
        <v>13.200000000000001</v>
      </c>
      <c r="AV329" s="948">
        <f t="shared" si="753"/>
        <v>11.024000000000001</v>
      </c>
      <c r="AW329" s="948">
        <f t="shared" si="754"/>
        <v>11.024000000000001</v>
      </c>
      <c r="AX329" s="948">
        <f t="shared" si="755"/>
        <v>13.200000000000001</v>
      </c>
      <c r="AY329" s="948">
        <f t="shared" si="756"/>
        <v>13.200000000000001</v>
      </c>
      <c r="AZ329" s="948">
        <f t="shared" si="757"/>
        <v>136.47399999999999</v>
      </c>
      <c r="BA329" s="948">
        <f t="shared" si="758"/>
        <v>0</v>
      </c>
      <c r="BB329" s="948">
        <f t="shared" si="759"/>
        <v>0</v>
      </c>
      <c r="BC329" s="957">
        <f t="shared" si="760"/>
        <v>1.5786666666666667</v>
      </c>
      <c r="BD329" s="957">
        <f t="shared" si="760"/>
        <v>1.5786666666666667</v>
      </c>
      <c r="BE329" s="957">
        <f t="shared" si="760"/>
        <v>1.5786666666666667</v>
      </c>
      <c r="BF329" s="957">
        <f t="shared" si="760"/>
        <v>1.5786666666666667</v>
      </c>
      <c r="BG329" s="957">
        <f t="shared" si="760"/>
        <v>1.5786666666666667</v>
      </c>
      <c r="BH329" s="957">
        <f t="shared" si="760"/>
        <v>1.5786666666666667</v>
      </c>
      <c r="BI329" s="957">
        <f t="shared" si="760"/>
        <v>0.39466666666666667</v>
      </c>
      <c r="BJ329" s="957">
        <f t="shared" si="760"/>
        <v>0</v>
      </c>
      <c r="BK329" s="957">
        <f t="shared" si="760"/>
        <v>0</v>
      </c>
      <c r="BL329" s="948">
        <f t="shared" si="761"/>
        <v>20.8384</v>
      </c>
      <c r="BM329" s="948">
        <f t="shared" si="761"/>
        <v>20.8384</v>
      </c>
      <c r="BN329" s="948">
        <f t="shared" si="761"/>
        <v>17.403221333333335</v>
      </c>
      <c r="BO329" s="948">
        <f t="shared" si="761"/>
        <v>17.403221333333335</v>
      </c>
      <c r="BP329" s="948">
        <f t="shared" si="761"/>
        <v>20.8384</v>
      </c>
      <c r="BQ329" s="948">
        <f t="shared" si="761"/>
        <v>20.8384</v>
      </c>
      <c r="BR329" s="948">
        <f t="shared" si="761"/>
        <v>53.86173866666666</v>
      </c>
      <c r="BS329" s="948">
        <f>BB329*BK329</f>
        <v>0</v>
      </c>
      <c r="BT329" s="955">
        <f>SUM(BL329:BS329)/K329</f>
        <v>143.35148444444445</v>
      </c>
    </row>
    <row r="330" spans="1:72">
      <c r="A330" s="952"/>
      <c r="B330" s="952"/>
      <c r="C330" s="950"/>
      <c r="D330" s="950"/>
      <c r="E330" s="950"/>
      <c r="F330" s="948"/>
      <c r="G330" s="948"/>
      <c r="H330" s="948"/>
      <c r="I330" s="948"/>
      <c r="J330" s="948"/>
      <c r="K330" s="948"/>
      <c r="L330" s="948"/>
      <c r="M330" s="952"/>
      <c r="N330" s="948"/>
      <c r="O330" s="950"/>
      <c r="P330" s="950"/>
      <c r="Q330" s="950"/>
      <c r="R330" s="950"/>
      <c r="S330" s="950"/>
      <c r="T330" s="950"/>
      <c r="U330" s="950"/>
      <c r="V330" s="950"/>
      <c r="W330" s="950"/>
      <c r="X330" s="950"/>
      <c r="Y330" s="950"/>
      <c r="Z330" s="950"/>
      <c r="AA330" s="950"/>
      <c r="AB330" s="950"/>
      <c r="AC330" s="950"/>
      <c r="AD330" s="950"/>
      <c r="AE330" s="950"/>
      <c r="AF330" s="955"/>
      <c r="AG330" s="955"/>
      <c r="AH330" s="955"/>
      <c r="AI330" s="955"/>
      <c r="AJ330" s="955"/>
      <c r="AK330" s="948"/>
      <c r="AL330" s="948"/>
      <c r="AM330" s="948"/>
      <c r="AN330" s="948"/>
      <c r="AO330" s="948"/>
      <c r="AP330" s="948"/>
      <c r="AQ330" s="948"/>
      <c r="AR330" s="948"/>
      <c r="AS330" s="948"/>
      <c r="AT330" s="948"/>
      <c r="AU330" s="948"/>
      <c r="AV330" s="948"/>
      <c r="AW330" s="948"/>
      <c r="AX330" s="948"/>
      <c r="AY330" s="948"/>
      <c r="AZ330" s="948"/>
      <c r="BA330" s="948"/>
      <c r="BB330" s="948"/>
      <c r="BC330" s="957"/>
      <c r="BD330" s="957"/>
      <c r="BE330" s="957"/>
      <c r="BF330" s="957"/>
      <c r="BG330" s="957"/>
      <c r="BH330" s="957"/>
      <c r="BI330" s="957"/>
      <c r="BJ330" s="957"/>
      <c r="BK330" s="957"/>
      <c r="BL330" s="948"/>
      <c r="BM330" s="948"/>
      <c r="BN330" s="948"/>
      <c r="BO330" s="948"/>
      <c r="BP330" s="948"/>
      <c r="BQ330" s="948"/>
      <c r="BR330" s="948"/>
      <c r="BS330" s="948"/>
      <c r="BT330" s="955"/>
    </row>
    <row r="331" spans="1:72">
      <c r="A331" s="960" t="s">
        <v>8</v>
      </c>
      <c r="B331" s="960" t="s">
        <v>1104</v>
      </c>
      <c r="C331" s="950"/>
      <c r="D331" s="950"/>
      <c r="E331" s="950"/>
      <c r="F331" s="948"/>
      <c r="G331" s="948"/>
      <c r="H331" s="948"/>
      <c r="I331" s="948"/>
      <c r="J331" s="948"/>
      <c r="K331" s="948"/>
      <c r="L331" s="948"/>
      <c r="M331" s="952"/>
      <c r="N331" s="959" t="str">
        <f>A331</f>
        <v>B</v>
      </c>
      <c r="O331" s="959" t="str">
        <f>B331</f>
        <v>Horizontal</v>
      </c>
      <c r="P331" s="950"/>
      <c r="Q331" s="950"/>
      <c r="R331" s="950"/>
      <c r="S331" s="950"/>
      <c r="T331" s="950"/>
      <c r="U331" s="950"/>
      <c r="V331" s="950"/>
      <c r="W331" s="950"/>
      <c r="X331" s="950"/>
      <c r="Y331" s="950"/>
      <c r="Z331" s="950"/>
      <c r="AA331" s="950"/>
      <c r="AB331" s="950"/>
      <c r="AC331" s="950"/>
      <c r="AD331" s="950"/>
      <c r="AE331" s="950"/>
      <c r="AF331" s="955"/>
      <c r="AG331" s="955"/>
      <c r="AH331" s="955"/>
      <c r="AI331" s="955"/>
      <c r="AJ331" s="955"/>
      <c r="AK331" s="948"/>
      <c r="AL331" s="948"/>
      <c r="AM331" s="948"/>
      <c r="AN331" s="948"/>
      <c r="AO331" s="948"/>
      <c r="AP331" s="948"/>
      <c r="AQ331" s="948"/>
      <c r="AR331" s="948"/>
      <c r="AS331" s="948"/>
      <c r="AT331" s="948"/>
      <c r="AU331" s="948"/>
      <c r="AV331" s="948"/>
      <c r="AW331" s="948"/>
      <c r="AX331" s="948"/>
      <c r="AY331" s="948"/>
      <c r="AZ331" s="948"/>
      <c r="BA331" s="948"/>
      <c r="BB331" s="948"/>
      <c r="BC331" s="957"/>
      <c r="BD331" s="957"/>
      <c r="BE331" s="957"/>
      <c r="BF331" s="957"/>
      <c r="BG331" s="957"/>
      <c r="BH331" s="957"/>
      <c r="BI331" s="957"/>
      <c r="BJ331" s="957"/>
      <c r="BK331" s="957"/>
      <c r="BL331" s="948"/>
      <c r="BM331" s="948"/>
      <c r="BN331" s="948"/>
      <c r="BO331" s="948"/>
      <c r="BP331" s="948"/>
      <c r="BQ331" s="948"/>
      <c r="BR331" s="948"/>
      <c r="BS331" s="948"/>
      <c r="BT331" s="955"/>
    </row>
    <row r="332" spans="1:72">
      <c r="A332" s="952">
        <v>1</v>
      </c>
      <c r="B332" s="952" t="s">
        <v>1167</v>
      </c>
      <c r="C332" s="950" t="s">
        <v>1168</v>
      </c>
      <c r="D332" s="950">
        <v>1</v>
      </c>
      <c r="E332" s="950">
        <v>1</v>
      </c>
      <c r="F332" s="948">
        <v>8</v>
      </c>
      <c r="G332" s="948">
        <v>0.3</v>
      </c>
      <c r="H332" s="948">
        <v>0.7</v>
      </c>
      <c r="I332" s="948">
        <v>0.12</v>
      </c>
      <c r="J332" s="948">
        <f t="shared" ref="J332:J338" si="765">H332-I332</f>
        <v>0.57999999999999996</v>
      </c>
      <c r="K332" s="948">
        <f>F332*G332*J332*D332*E332</f>
        <v>1.3919999999999999</v>
      </c>
      <c r="L332" s="948">
        <f t="shared" ref="L332" si="766">(2*J332)*F332*E332*D332+(D332*E332*F332*G332)</f>
        <v>11.68</v>
      </c>
      <c r="M332" s="952"/>
      <c r="N332" s="950">
        <v>16</v>
      </c>
      <c r="O332" s="950">
        <v>16</v>
      </c>
      <c r="P332" s="950">
        <v>16</v>
      </c>
      <c r="Q332" s="950">
        <v>16</v>
      </c>
      <c r="R332" s="950">
        <v>16</v>
      </c>
      <c r="S332" s="950">
        <v>16</v>
      </c>
      <c r="T332" s="950">
        <v>8</v>
      </c>
      <c r="U332" s="950"/>
      <c r="V332" s="950"/>
      <c r="W332" s="950">
        <v>200</v>
      </c>
      <c r="X332" s="950">
        <v>100</v>
      </c>
      <c r="Y332" s="950">
        <v>100</v>
      </c>
      <c r="Z332" s="950">
        <v>4</v>
      </c>
      <c r="AA332" s="950">
        <v>4</v>
      </c>
      <c r="AB332" s="950">
        <v>2</v>
      </c>
      <c r="AC332" s="950">
        <v>2</v>
      </c>
      <c r="AD332" s="950">
        <v>4</v>
      </c>
      <c r="AE332" s="950">
        <v>4</v>
      </c>
      <c r="AF332" s="955">
        <f t="shared" ref="AF332:AF338" si="767">(F332/4)/(W332/1000)+1</f>
        <v>11</v>
      </c>
      <c r="AG332" s="955">
        <f t="shared" ref="AG332:AG338" si="768">(F332/2)/(X332/1000)+1</f>
        <v>41</v>
      </c>
      <c r="AH332" s="955">
        <f t="shared" ref="AH332:AH338" si="769">(F332/4)/(Y332/1000)+1</f>
        <v>21</v>
      </c>
      <c r="AI332" s="955">
        <v>0</v>
      </c>
      <c r="AJ332" s="955">
        <v>0</v>
      </c>
      <c r="AK332" s="948">
        <f t="shared" ref="AK332:AK338" si="770">(F332/4)+(20*N332/1000)+(10*N332/1000)+(8*N332/1000)+(6*2*N332/1000)</f>
        <v>2.8000000000000003</v>
      </c>
      <c r="AL332" s="948">
        <f t="shared" ref="AL332:AL338" si="771">(F332/4)+(20*O332/1000)+(10*O332/1000)+(8*O332/1000)+(6*2*O332/1000)</f>
        <v>2.8000000000000003</v>
      </c>
      <c r="AM332" s="948">
        <f t="shared" ref="AM332:AM338" si="772">(F332/2)+(20*P332/1000)+(6*2*P332/1000)</f>
        <v>4.5120000000000005</v>
      </c>
      <c r="AN332" s="948">
        <f t="shared" ref="AN332:AN338" si="773">(F332/2)+(20*Q332/1000)+(6*2*Q332/1000)</f>
        <v>4.5120000000000005</v>
      </c>
      <c r="AO332" s="948">
        <f t="shared" ref="AO332:AO338" si="774">(F332/4)+(20*R332/1000)+(10*R332/1000)+(8*R332/1000)+(6*2*R332/1000)</f>
        <v>2.8000000000000003</v>
      </c>
      <c r="AP332" s="948">
        <f t="shared" ref="AP332:AP338" si="775">(F332/4)+(20*S332/1000)+(10*S332/1000)+(8*S332/1000)+(6*2*S332/1000)</f>
        <v>2.8000000000000003</v>
      </c>
      <c r="AQ332" s="948">
        <f t="shared" ref="AQ332:AQ338" si="776">(2*G332)+(2*H332)+(6*T332/1000)-(8*0.03)</f>
        <v>1.8080000000000001</v>
      </c>
      <c r="AR332" s="948">
        <f t="shared" ref="AR332:AR338" si="777">((H332)+(2*6*U332/1000)-(2*0.03))*AI332</f>
        <v>0</v>
      </c>
      <c r="AS332" s="948">
        <f t="shared" ref="AS332:AS338" si="778">((G332)+(2*6*V332/1000)-(2*0.03))*AJ332</f>
        <v>0</v>
      </c>
      <c r="AT332" s="948">
        <f t="shared" ref="AT332:AT338" si="779">AK332*Z332*E332*D332</f>
        <v>11.200000000000001</v>
      </c>
      <c r="AU332" s="948">
        <f t="shared" ref="AU332:AU338" si="780">AL332*AA332*E332*D332</f>
        <v>11.200000000000001</v>
      </c>
      <c r="AV332" s="948">
        <f t="shared" ref="AV332:AV338" si="781">AM332*AB332*E332*D332</f>
        <v>9.0240000000000009</v>
      </c>
      <c r="AW332" s="948">
        <f t="shared" ref="AW332:AW338" si="782">AN332*AC332*E332*D332</f>
        <v>9.0240000000000009</v>
      </c>
      <c r="AX332" s="948">
        <f t="shared" ref="AX332:AX338" si="783">AO332*AD332*E332*D332</f>
        <v>11.200000000000001</v>
      </c>
      <c r="AY332" s="948">
        <f t="shared" ref="AY332:AY338" si="784">AP332*AE332*E332*D332</f>
        <v>11.200000000000001</v>
      </c>
      <c r="AZ332" s="948">
        <f t="shared" ref="AZ332:AZ338" si="785">AQ332*(AF332+AG332+AH332)*E332*D332</f>
        <v>131.98400000000001</v>
      </c>
      <c r="BA332" s="948">
        <f t="shared" ref="BA332:BA338" si="786">AR332*(AF332+AG332+AH332)*E332*D332</f>
        <v>0</v>
      </c>
      <c r="BB332" s="948">
        <f t="shared" ref="BB332:BB338" si="787">AS332*(AF332+AG332+AH332)*E332*D332</f>
        <v>0</v>
      </c>
      <c r="BC332" s="957">
        <f t="shared" ref="BC332:BK338" si="788">N332*N332*0.074/12</f>
        <v>1.5786666666666667</v>
      </c>
      <c r="BD332" s="957">
        <f t="shared" si="788"/>
        <v>1.5786666666666667</v>
      </c>
      <c r="BE332" s="957">
        <f t="shared" si="788"/>
        <v>1.5786666666666667</v>
      </c>
      <c r="BF332" s="957">
        <f t="shared" si="788"/>
        <v>1.5786666666666667</v>
      </c>
      <c r="BG332" s="957">
        <f t="shared" si="788"/>
        <v>1.5786666666666667</v>
      </c>
      <c r="BH332" s="957">
        <f t="shared" si="788"/>
        <v>1.5786666666666667</v>
      </c>
      <c r="BI332" s="957">
        <f t="shared" si="788"/>
        <v>0.39466666666666667</v>
      </c>
      <c r="BJ332" s="957">
        <f t="shared" si="788"/>
        <v>0</v>
      </c>
      <c r="BK332" s="957">
        <f t="shared" si="788"/>
        <v>0</v>
      </c>
      <c r="BL332" s="948">
        <f t="shared" ref="BL332:BR338" si="789">AT332*BC332</f>
        <v>17.68106666666667</v>
      </c>
      <c r="BM332" s="948">
        <f t="shared" si="789"/>
        <v>17.68106666666667</v>
      </c>
      <c r="BN332" s="948">
        <f t="shared" si="789"/>
        <v>14.245888000000001</v>
      </c>
      <c r="BO332" s="948">
        <f t="shared" si="789"/>
        <v>14.245888000000001</v>
      </c>
      <c r="BP332" s="948">
        <f t="shared" si="789"/>
        <v>17.68106666666667</v>
      </c>
      <c r="BQ332" s="948">
        <f t="shared" si="789"/>
        <v>17.68106666666667</v>
      </c>
      <c r="BR332" s="948">
        <f t="shared" si="789"/>
        <v>52.089685333333335</v>
      </c>
      <c r="BS332" s="948">
        <f t="shared" ref="BS332:BS338" si="790">BB332*BK332</f>
        <v>0</v>
      </c>
      <c r="BT332" s="955">
        <f t="shared" ref="BT332:BT338" si="791">SUM(BL332:BS332)/K332</f>
        <v>108.69664367816094</v>
      </c>
    </row>
    <row r="333" spans="1:72">
      <c r="A333" s="952">
        <v>2</v>
      </c>
      <c r="B333" s="952" t="s">
        <v>1186</v>
      </c>
      <c r="C333" s="950" t="s">
        <v>1187</v>
      </c>
      <c r="D333" s="950">
        <v>1</v>
      </c>
      <c r="E333" s="950">
        <v>1</v>
      </c>
      <c r="F333" s="948">
        <v>14</v>
      </c>
      <c r="G333" s="948">
        <v>0.3</v>
      </c>
      <c r="H333" s="948">
        <v>0.65</v>
      </c>
      <c r="I333" s="948">
        <v>0.12</v>
      </c>
      <c r="J333" s="948">
        <f t="shared" si="765"/>
        <v>0.53</v>
      </c>
      <c r="K333" s="948">
        <f t="shared" ref="K333:K338" si="792">F333*G333*J333*D333*E333</f>
        <v>2.2260000000000004</v>
      </c>
      <c r="L333" s="948">
        <f t="shared" ref="L333:L338" si="793">(2*J333)*F333*E333*D333</f>
        <v>14.84</v>
      </c>
      <c r="M333" s="952"/>
      <c r="N333" s="950">
        <v>16</v>
      </c>
      <c r="O333" s="950">
        <v>16</v>
      </c>
      <c r="P333" s="950">
        <v>16</v>
      </c>
      <c r="Q333" s="950">
        <v>16</v>
      </c>
      <c r="R333" s="950">
        <v>16</v>
      </c>
      <c r="S333" s="950">
        <v>16</v>
      </c>
      <c r="T333" s="950">
        <v>8</v>
      </c>
      <c r="U333" s="950"/>
      <c r="V333" s="950"/>
      <c r="W333" s="950">
        <v>200</v>
      </c>
      <c r="X333" s="950">
        <v>100</v>
      </c>
      <c r="Y333" s="950">
        <v>100</v>
      </c>
      <c r="Z333" s="950">
        <v>4</v>
      </c>
      <c r="AA333" s="950">
        <v>4</v>
      </c>
      <c r="AB333" s="950">
        <v>2</v>
      </c>
      <c r="AC333" s="950">
        <v>2</v>
      </c>
      <c r="AD333" s="950">
        <v>4</v>
      </c>
      <c r="AE333" s="950">
        <v>4</v>
      </c>
      <c r="AF333" s="955">
        <f t="shared" si="767"/>
        <v>18.5</v>
      </c>
      <c r="AG333" s="955">
        <f t="shared" si="768"/>
        <v>71</v>
      </c>
      <c r="AH333" s="955">
        <f t="shared" si="769"/>
        <v>36</v>
      </c>
      <c r="AI333" s="955">
        <v>0</v>
      </c>
      <c r="AJ333" s="955">
        <v>0</v>
      </c>
      <c r="AK333" s="948">
        <f t="shared" si="770"/>
        <v>4.3</v>
      </c>
      <c r="AL333" s="948">
        <f t="shared" si="771"/>
        <v>4.3</v>
      </c>
      <c r="AM333" s="948">
        <f t="shared" si="772"/>
        <v>7.5120000000000005</v>
      </c>
      <c r="AN333" s="948">
        <f t="shared" si="773"/>
        <v>7.5120000000000005</v>
      </c>
      <c r="AO333" s="948">
        <f t="shared" si="774"/>
        <v>4.3</v>
      </c>
      <c r="AP333" s="948">
        <f t="shared" si="775"/>
        <v>4.3</v>
      </c>
      <c r="AQ333" s="948">
        <f t="shared" si="776"/>
        <v>1.708</v>
      </c>
      <c r="AR333" s="948">
        <f t="shared" si="777"/>
        <v>0</v>
      </c>
      <c r="AS333" s="948">
        <f t="shared" si="778"/>
        <v>0</v>
      </c>
      <c r="AT333" s="948">
        <f t="shared" si="779"/>
        <v>17.2</v>
      </c>
      <c r="AU333" s="948">
        <f t="shared" si="780"/>
        <v>17.2</v>
      </c>
      <c r="AV333" s="948">
        <f t="shared" si="781"/>
        <v>15.024000000000001</v>
      </c>
      <c r="AW333" s="948">
        <f t="shared" si="782"/>
        <v>15.024000000000001</v>
      </c>
      <c r="AX333" s="948">
        <f t="shared" si="783"/>
        <v>17.2</v>
      </c>
      <c r="AY333" s="948">
        <f t="shared" si="784"/>
        <v>17.2</v>
      </c>
      <c r="AZ333" s="948">
        <f t="shared" si="785"/>
        <v>214.35399999999998</v>
      </c>
      <c r="BA333" s="948">
        <f t="shared" si="786"/>
        <v>0</v>
      </c>
      <c r="BB333" s="948">
        <f t="shared" si="787"/>
        <v>0</v>
      </c>
      <c r="BC333" s="957">
        <f t="shared" si="788"/>
        <v>1.5786666666666667</v>
      </c>
      <c r="BD333" s="957">
        <f t="shared" si="788"/>
        <v>1.5786666666666667</v>
      </c>
      <c r="BE333" s="957">
        <f t="shared" si="788"/>
        <v>1.5786666666666667</v>
      </c>
      <c r="BF333" s="957">
        <f t="shared" si="788"/>
        <v>1.5786666666666667</v>
      </c>
      <c r="BG333" s="957">
        <f t="shared" si="788"/>
        <v>1.5786666666666667</v>
      </c>
      <c r="BH333" s="957">
        <f t="shared" si="788"/>
        <v>1.5786666666666667</v>
      </c>
      <c r="BI333" s="957">
        <f t="shared" si="788"/>
        <v>0.39466666666666667</v>
      </c>
      <c r="BJ333" s="957">
        <f t="shared" si="788"/>
        <v>0</v>
      </c>
      <c r="BK333" s="957">
        <f t="shared" si="788"/>
        <v>0</v>
      </c>
      <c r="BL333" s="948">
        <f t="shared" si="789"/>
        <v>27.153066666666664</v>
      </c>
      <c r="BM333" s="948">
        <f t="shared" si="789"/>
        <v>27.153066666666664</v>
      </c>
      <c r="BN333" s="948">
        <f t="shared" si="789"/>
        <v>23.717888000000002</v>
      </c>
      <c r="BO333" s="948">
        <f t="shared" si="789"/>
        <v>23.717888000000002</v>
      </c>
      <c r="BP333" s="948">
        <f t="shared" si="789"/>
        <v>27.153066666666664</v>
      </c>
      <c r="BQ333" s="948">
        <f t="shared" si="789"/>
        <v>27.153066666666664</v>
      </c>
      <c r="BR333" s="948">
        <f t="shared" si="789"/>
        <v>84.598378666666662</v>
      </c>
      <c r="BS333" s="948">
        <f t="shared" si="790"/>
        <v>0</v>
      </c>
      <c r="BT333" s="955">
        <f t="shared" si="791"/>
        <v>108.10710751722071</v>
      </c>
    </row>
    <row r="334" spans="1:72">
      <c r="A334" s="952">
        <v>2</v>
      </c>
      <c r="B334" s="952" t="s">
        <v>1188</v>
      </c>
      <c r="C334" s="950" t="s">
        <v>1189</v>
      </c>
      <c r="D334" s="950">
        <v>1</v>
      </c>
      <c r="E334" s="950">
        <v>1</v>
      </c>
      <c r="F334" s="948">
        <v>14</v>
      </c>
      <c r="G334" s="948">
        <v>0.3</v>
      </c>
      <c r="H334" s="948">
        <v>0.7</v>
      </c>
      <c r="I334" s="948">
        <v>0.12</v>
      </c>
      <c r="J334" s="948">
        <f t="shared" si="765"/>
        <v>0.57999999999999996</v>
      </c>
      <c r="K334" s="948">
        <f t="shared" si="792"/>
        <v>2.4359999999999999</v>
      </c>
      <c r="L334" s="948">
        <f t="shared" si="793"/>
        <v>16.239999999999998</v>
      </c>
      <c r="M334" s="952"/>
      <c r="N334" s="950">
        <v>16</v>
      </c>
      <c r="O334" s="950">
        <v>16</v>
      </c>
      <c r="P334" s="950">
        <v>16</v>
      </c>
      <c r="Q334" s="950">
        <v>16</v>
      </c>
      <c r="R334" s="950">
        <v>16</v>
      </c>
      <c r="S334" s="950">
        <v>16</v>
      </c>
      <c r="T334" s="950">
        <v>8</v>
      </c>
      <c r="U334" s="950"/>
      <c r="V334" s="950"/>
      <c r="W334" s="950">
        <v>200</v>
      </c>
      <c r="X334" s="950">
        <v>100</v>
      </c>
      <c r="Y334" s="950">
        <v>100</v>
      </c>
      <c r="Z334" s="950">
        <v>4</v>
      </c>
      <c r="AA334" s="950">
        <v>4</v>
      </c>
      <c r="AB334" s="950">
        <v>2</v>
      </c>
      <c r="AC334" s="950">
        <v>2</v>
      </c>
      <c r="AD334" s="950">
        <v>4</v>
      </c>
      <c r="AE334" s="950">
        <v>4</v>
      </c>
      <c r="AF334" s="955">
        <f t="shared" si="767"/>
        <v>18.5</v>
      </c>
      <c r="AG334" s="955">
        <f t="shared" si="768"/>
        <v>71</v>
      </c>
      <c r="AH334" s="955">
        <f t="shared" si="769"/>
        <v>36</v>
      </c>
      <c r="AI334" s="955">
        <v>0</v>
      </c>
      <c r="AJ334" s="955">
        <v>0</v>
      </c>
      <c r="AK334" s="948">
        <f t="shared" si="770"/>
        <v>4.3</v>
      </c>
      <c r="AL334" s="948">
        <f t="shared" si="771"/>
        <v>4.3</v>
      </c>
      <c r="AM334" s="948">
        <f t="shared" si="772"/>
        <v>7.5120000000000005</v>
      </c>
      <c r="AN334" s="948">
        <f t="shared" si="773"/>
        <v>7.5120000000000005</v>
      </c>
      <c r="AO334" s="948">
        <f t="shared" si="774"/>
        <v>4.3</v>
      </c>
      <c r="AP334" s="948">
        <f t="shared" si="775"/>
        <v>4.3</v>
      </c>
      <c r="AQ334" s="948">
        <f t="shared" si="776"/>
        <v>1.8080000000000001</v>
      </c>
      <c r="AR334" s="948">
        <f t="shared" si="777"/>
        <v>0</v>
      </c>
      <c r="AS334" s="948">
        <f t="shared" si="778"/>
        <v>0</v>
      </c>
      <c r="AT334" s="948">
        <f t="shared" si="779"/>
        <v>17.2</v>
      </c>
      <c r="AU334" s="948">
        <f t="shared" si="780"/>
        <v>17.2</v>
      </c>
      <c r="AV334" s="948">
        <f t="shared" si="781"/>
        <v>15.024000000000001</v>
      </c>
      <c r="AW334" s="948">
        <f t="shared" si="782"/>
        <v>15.024000000000001</v>
      </c>
      <c r="AX334" s="948">
        <f t="shared" si="783"/>
        <v>17.2</v>
      </c>
      <c r="AY334" s="948">
        <f t="shared" si="784"/>
        <v>17.2</v>
      </c>
      <c r="AZ334" s="948">
        <f t="shared" si="785"/>
        <v>226.904</v>
      </c>
      <c r="BA334" s="948">
        <f t="shared" si="786"/>
        <v>0</v>
      </c>
      <c r="BB334" s="948">
        <f t="shared" si="787"/>
        <v>0</v>
      </c>
      <c r="BC334" s="957">
        <f t="shared" si="788"/>
        <v>1.5786666666666667</v>
      </c>
      <c r="BD334" s="957">
        <f t="shared" si="788"/>
        <v>1.5786666666666667</v>
      </c>
      <c r="BE334" s="957">
        <f t="shared" si="788"/>
        <v>1.5786666666666667</v>
      </c>
      <c r="BF334" s="957">
        <f t="shared" si="788"/>
        <v>1.5786666666666667</v>
      </c>
      <c r="BG334" s="957">
        <f t="shared" si="788"/>
        <v>1.5786666666666667</v>
      </c>
      <c r="BH334" s="957">
        <f t="shared" si="788"/>
        <v>1.5786666666666667</v>
      </c>
      <c r="BI334" s="957">
        <f t="shared" si="788"/>
        <v>0.39466666666666667</v>
      </c>
      <c r="BJ334" s="957">
        <f t="shared" si="788"/>
        <v>0</v>
      </c>
      <c r="BK334" s="957">
        <f t="shared" si="788"/>
        <v>0</v>
      </c>
      <c r="BL334" s="948">
        <f t="shared" si="789"/>
        <v>27.153066666666664</v>
      </c>
      <c r="BM334" s="948">
        <f t="shared" si="789"/>
        <v>27.153066666666664</v>
      </c>
      <c r="BN334" s="948">
        <f t="shared" si="789"/>
        <v>23.717888000000002</v>
      </c>
      <c r="BO334" s="948">
        <f t="shared" si="789"/>
        <v>23.717888000000002</v>
      </c>
      <c r="BP334" s="948">
        <f t="shared" si="789"/>
        <v>27.153066666666664</v>
      </c>
      <c r="BQ334" s="948">
        <f t="shared" si="789"/>
        <v>27.153066666666664</v>
      </c>
      <c r="BR334" s="948">
        <f t="shared" si="789"/>
        <v>89.551445333333334</v>
      </c>
      <c r="BS334" s="948">
        <f t="shared" si="790"/>
        <v>0</v>
      </c>
      <c r="BT334" s="955">
        <f t="shared" si="791"/>
        <v>100.8208078817734</v>
      </c>
    </row>
    <row r="335" spans="1:72">
      <c r="A335" s="952">
        <v>3</v>
      </c>
      <c r="B335" s="952" t="s">
        <v>1170</v>
      </c>
      <c r="C335" s="950" t="s">
        <v>1190</v>
      </c>
      <c r="D335" s="950">
        <v>1</v>
      </c>
      <c r="E335" s="950">
        <v>1</v>
      </c>
      <c r="F335" s="948">
        <v>32</v>
      </c>
      <c r="G335" s="948">
        <v>0.3</v>
      </c>
      <c r="H335" s="948">
        <v>0.65</v>
      </c>
      <c r="I335" s="948">
        <v>0.12</v>
      </c>
      <c r="J335" s="948">
        <f t="shared" si="765"/>
        <v>0.53</v>
      </c>
      <c r="K335" s="948">
        <f t="shared" si="792"/>
        <v>5.0880000000000001</v>
      </c>
      <c r="L335" s="948">
        <f t="shared" si="793"/>
        <v>33.92</v>
      </c>
      <c r="M335" s="952"/>
      <c r="N335" s="950">
        <v>16</v>
      </c>
      <c r="O335" s="950">
        <v>16</v>
      </c>
      <c r="P335" s="950">
        <v>16</v>
      </c>
      <c r="Q335" s="950">
        <v>16</v>
      </c>
      <c r="R335" s="950">
        <v>16</v>
      </c>
      <c r="S335" s="950">
        <v>16</v>
      </c>
      <c r="T335" s="950">
        <v>8</v>
      </c>
      <c r="U335" s="950"/>
      <c r="V335" s="950"/>
      <c r="W335" s="950">
        <v>200</v>
      </c>
      <c r="X335" s="950">
        <v>100</v>
      </c>
      <c r="Y335" s="950">
        <v>100</v>
      </c>
      <c r="Z335" s="950">
        <v>9</v>
      </c>
      <c r="AA335" s="950">
        <v>6</v>
      </c>
      <c r="AB335" s="950">
        <v>4</v>
      </c>
      <c r="AC335" s="950">
        <v>4</v>
      </c>
      <c r="AD335" s="950">
        <v>9</v>
      </c>
      <c r="AE335" s="950">
        <v>6</v>
      </c>
      <c r="AF335" s="955">
        <f t="shared" si="767"/>
        <v>41</v>
      </c>
      <c r="AG335" s="955">
        <f t="shared" si="768"/>
        <v>161</v>
      </c>
      <c r="AH335" s="955">
        <f t="shared" si="769"/>
        <v>81</v>
      </c>
      <c r="AI335" s="955">
        <v>0</v>
      </c>
      <c r="AJ335" s="955">
        <v>0</v>
      </c>
      <c r="AK335" s="948">
        <f t="shared" si="770"/>
        <v>8.8000000000000007</v>
      </c>
      <c r="AL335" s="948">
        <f t="shared" si="771"/>
        <v>8.8000000000000007</v>
      </c>
      <c r="AM335" s="948">
        <f t="shared" si="772"/>
        <v>16.512</v>
      </c>
      <c r="AN335" s="948">
        <f t="shared" si="773"/>
        <v>16.512</v>
      </c>
      <c r="AO335" s="948">
        <f t="shared" si="774"/>
        <v>8.8000000000000007</v>
      </c>
      <c r="AP335" s="948">
        <f t="shared" si="775"/>
        <v>8.8000000000000007</v>
      </c>
      <c r="AQ335" s="948">
        <f t="shared" si="776"/>
        <v>1.708</v>
      </c>
      <c r="AR335" s="948">
        <f t="shared" si="777"/>
        <v>0</v>
      </c>
      <c r="AS335" s="948">
        <f t="shared" si="778"/>
        <v>0</v>
      </c>
      <c r="AT335" s="948">
        <f t="shared" si="779"/>
        <v>79.2</v>
      </c>
      <c r="AU335" s="948">
        <f t="shared" si="780"/>
        <v>52.800000000000004</v>
      </c>
      <c r="AV335" s="948">
        <f t="shared" si="781"/>
        <v>66.048000000000002</v>
      </c>
      <c r="AW335" s="948">
        <f t="shared" si="782"/>
        <v>66.048000000000002</v>
      </c>
      <c r="AX335" s="948">
        <f t="shared" si="783"/>
        <v>79.2</v>
      </c>
      <c r="AY335" s="948">
        <f t="shared" si="784"/>
        <v>52.800000000000004</v>
      </c>
      <c r="AZ335" s="948">
        <f t="shared" si="785"/>
        <v>483.36399999999998</v>
      </c>
      <c r="BA335" s="948">
        <f t="shared" si="786"/>
        <v>0</v>
      </c>
      <c r="BB335" s="948">
        <f t="shared" si="787"/>
        <v>0</v>
      </c>
      <c r="BC335" s="957">
        <f t="shared" si="788"/>
        <v>1.5786666666666667</v>
      </c>
      <c r="BD335" s="957">
        <f t="shared" si="788"/>
        <v>1.5786666666666667</v>
      </c>
      <c r="BE335" s="957">
        <f t="shared" si="788"/>
        <v>1.5786666666666667</v>
      </c>
      <c r="BF335" s="957">
        <f t="shared" si="788"/>
        <v>1.5786666666666667</v>
      </c>
      <c r="BG335" s="957">
        <f t="shared" si="788"/>
        <v>1.5786666666666667</v>
      </c>
      <c r="BH335" s="957">
        <f t="shared" si="788"/>
        <v>1.5786666666666667</v>
      </c>
      <c r="BI335" s="957">
        <f t="shared" si="788"/>
        <v>0.39466666666666667</v>
      </c>
      <c r="BJ335" s="957">
        <f t="shared" si="788"/>
        <v>0</v>
      </c>
      <c r="BK335" s="957">
        <f t="shared" si="788"/>
        <v>0</v>
      </c>
      <c r="BL335" s="948">
        <f t="shared" si="789"/>
        <v>125.0304</v>
      </c>
      <c r="BM335" s="948">
        <f t="shared" si="789"/>
        <v>83.3536</v>
      </c>
      <c r="BN335" s="948">
        <f t="shared" si="789"/>
        <v>104.267776</v>
      </c>
      <c r="BO335" s="948">
        <f t="shared" si="789"/>
        <v>104.267776</v>
      </c>
      <c r="BP335" s="948">
        <f t="shared" si="789"/>
        <v>125.0304</v>
      </c>
      <c r="BQ335" s="948">
        <f t="shared" si="789"/>
        <v>83.3536</v>
      </c>
      <c r="BR335" s="948">
        <f t="shared" si="789"/>
        <v>190.76765866666665</v>
      </c>
      <c r="BS335" s="948">
        <f t="shared" si="790"/>
        <v>0</v>
      </c>
      <c r="BT335" s="955">
        <f t="shared" si="791"/>
        <v>160.39135429769394</v>
      </c>
    </row>
    <row r="336" spans="1:72">
      <c r="A336" s="952">
        <v>4</v>
      </c>
      <c r="B336" s="952" t="s">
        <v>1183</v>
      </c>
      <c r="C336" s="950" t="s">
        <v>1191</v>
      </c>
      <c r="D336" s="950">
        <v>1</v>
      </c>
      <c r="E336" s="950">
        <v>1</v>
      </c>
      <c r="F336" s="948">
        <v>24</v>
      </c>
      <c r="G336" s="948">
        <v>0.3</v>
      </c>
      <c r="H336" s="948">
        <v>0.65</v>
      </c>
      <c r="I336" s="948">
        <v>0.12</v>
      </c>
      <c r="J336" s="948">
        <f t="shared" si="765"/>
        <v>0.53</v>
      </c>
      <c r="K336" s="948">
        <f t="shared" si="792"/>
        <v>3.8159999999999998</v>
      </c>
      <c r="L336" s="948">
        <f t="shared" si="793"/>
        <v>25.44</v>
      </c>
      <c r="M336" s="952"/>
      <c r="N336" s="950">
        <v>25</v>
      </c>
      <c r="O336" s="950">
        <v>25</v>
      </c>
      <c r="P336" s="950">
        <v>25</v>
      </c>
      <c r="Q336" s="950">
        <v>25</v>
      </c>
      <c r="R336" s="950">
        <v>25</v>
      </c>
      <c r="S336" s="950">
        <v>25</v>
      </c>
      <c r="T336" s="950">
        <v>8</v>
      </c>
      <c r="U336" s="950"/>
      <c r="V336" s="950"/>
      <c r="W336" s="950">
        <v>200</v>
      </c>
      <c r="X336" s="950">
        <v>100</v>
      </c>
      <c r="Y336" s="950">
        <v>100</v>
      </c>
      <c r="Z336" s="950">
        <v>9</v>
      </c>
      <c r="AA336" s="950">
        <v>6</v>
      </c>
      <c r="AB336" s="950">
        <v>4</v>
      </c>
      <c r="AC336" s="950">
        <v>4</v>
      </c>
      <c r="AD336" s="950">
        <v>9</v>
      </c>
      <c r="AE336" s="950">
        <v>6</v>
      </c>
      <c r="AF336" s="955">
        <f t="shared" si="767"/>
        <v>31</v>
      </c>
      <c r="AG336" s="955">
        <f t="shared" si="768"/>
        <v>121</v>
      </c>
      <c r="AH336" s="955">
        <f t="shared" si="769"/>
        <v>61</v>
      </c>
      <c r="AI336" s="955">
        <v>0</v>
      </c>
      <c r="AJ336" s="955">
        <v>0</v>
      </c>
      <c r="AK336" s="948">
        <f t="shared" si="770"/>
        <v>7.25</v>
      </c>
      <c r="AL336" s="948">
        <f t="shared" si="771"/>
        <v>7.25</v>
      </c>
      <c r="AM336" s="948">
        <f t="shared" si="772"/>
        <v>12.8</v>
      </c>
      <c r="AN336" s="948">
        <f t="shared" si="773"/>
        <v>12.8</v>
      </c>
      <c r="AO336" s="948">
        <f t="shared" si="774"/>
        <v>7.25</v>
      </c>
      <c r="AP336" s="948">
        <f t="shared" si="775"/>
        <v>7.25</v>
      </c>
      <c r="AQ336" s="948">
        <f t="shared" si="776"/>
        <v>1.708</v>
      </c>
      <c r="AR336" s="948">
        <f t="shared" si="777"/>
        <v>0</v>
      </c>
      <c r="AS336" s="948">
        <f t="shared" si="778"/>
        <v>0</v>
      </c>
      <c r="AT336" s="948">
        <f t="shared" si="779"/>
        <v>65.25</v>
      </c>
      <c r="AU336" s="948">
        <f t="shared" si="780"/>
        <v>43.5</v>
      </c>
      <c r="AV336" s="948">
        <f t="shared" si="781"/>
        <v>51.2</v>
      </c>
      <c r="AW336" s="948">
        <f t="shared" si="782"/>
        <v>51.2</v>
      </c>
      <c r="AX336" s="948">
        <f t="shared" si="783"/>
        <v>65.25</v>
      </c>
      <c r="AY336" s="948">
        <f t="shared" si="784"/>
        <v>43.5</v>
      </c>
      <c r="AZ336" s="948">
        <f t="shared" si="785"/>
        <v>363.80399999999997</v>
      </c>
      <c r="BA336" s="948">
        <f t="shared" si="786"/>
        <v>0</v>
      </c>
      <c r="BB336" s="948">
        <f t="shared" si="787"/>
        <v>0</v>
      </c>
      <c r="BC336" s="957">
        <f t="shared" si="788"/>
        <v>3.8541666666666665</v>
      </c>
      <c r="BD336" s="957">
        <f t="shared" si="788"/>
        <v>3.8541666666666665</v>
      </c>
      <c r="BE336" s="957">
        <f t="shared" si="788"/>
        <v>3.8541666666666665</v>
      </c>
      <c r="BF336" s="957">
        <f t="shared" si="788"/>
        <v>3.8541666666666665</v>
      </c>
      <c r="BG336" s="957">
        <f t="shared" si="788"/>
        <v>3.8541666666666665</v>
      </c>
      <c r="BH336" s="957">
        <f t="shared" si="788"/>
        <v>3.8541666666666665</v>
      </c>
      <c r="BI336" s="957">
        <f t="shared" si="788"/>
        <v>0.39466666666666667</v>
      </c>
      <c r="BJ336" s="957">
        <f t="shared" si="788"/>
        <v>0</v>
      </c>
      <c r="BK336" s="957">
        <f t="shared" si="788"/>
        <v>0</v>
      </c>
      <c r="BL336" s="948">
        <f t="shared" si="789"/>
        <v>251.484375</v>
      </c>
      <c r="BM336" s="948">
        <f t="shared" si="789"/>
        <v>167.65625</v>
      </c>
      <c r="BN336" s="948">
        <f t="shared" si="789"/>
        <v>197.33333333333334</v>
      </c>
      <c r="BO336" s="948">
        <f t="shared" si="789"/>
        <v>197.33333333333334</v>
      </c>
      <c r="BP336" s="948">
        <f t="shared" si="789"/>
        <v>251.484375</v>
      </c>
      <c r="BQ336" s="948">
        <f t="shared" si="789"/>
        <v>167.65625</v>
      </c>
      <c r="BR336" s="948">
        <f t="shared" si="789"/>
        <v>143.581312</v>
      </c>
      <c r="BS336" s="948">
        <f t="shared" si="790"/>
        <v>0</v>
      </c>
      <c r="BT336" s="955">
        <f t="shared" si="791"/>
        <v>360.72568885394833</v>
      </c>
    </row>
    <row r="337" spans="1:72">
      <c r="A337" s="952">
        <v>5</v>
      </c>
      <c r="B337" s="952" t="s">
        <v>1173</v>
      </c>
      <c r="C337" s="950" t="s">
        <v>1174</v>
      </c>
      <c r="D337" s="950">
        <v>1</v>
      </c>
      <c r="E337" s="950">
        <v>1</v>
      </c>
      <c r="F337" s="948">
        <v>5.4</v>
      </c>
      <c r="G337" s="948">
        <v>0.3</v>
      </c>
      <c r="H337" s="948">
        <v>0.65</v>
      </c>
      <c r="I337" s="948">
        <v>0.12</v>
      </c>
      <c r="J337" s="948">
        <f t="shared" si="765"/>
        <v>0.53</v>
      </c>
      <c r="K337" s="948">
        <f t="shared" si="792"/>
        <v>0.85860000000000014</v>
      </c>
      <c r="L337" s="948">
        <f t="shared" si="793"/>
        <v>5.7240000000000011</v>
      </c>
      <c r="M337" s="952"/>
      <c r="N337" s="950">
        <v>16</v>
      </c>
      <c r="O337" s="950">
        <v>16</v>
      </c>
      <c r="P337" s="950">
        <v>16</v>
      </c>
      <c r="Q337" s="950">
        <v>16</v>
      </c>
      <c r="R337" s="950">
        <v>16</v>
      </c>
      <c r="S337" s="950">
        <v>16</v>
      </c>
      <c r="T337" s="950">
        <v>8</v>
      </c>
      <c r="U337" s="950"/>
      <c r="V337" s="950"/>
      <c r="W337" s="950">
        <v>200</v>
      </c>
      <c r="X337" s="950">
        <v>100</v>
      </c>
      <c r="Y337" s="950">
        <v>100</v>
      </c>
      <c r="Z337" s="950">
        <v>9</v>
      </c>
      <c r="AA337" s="950">
        <v>6</v>
      </c>
      <c r="AB337" s="950">
        <v>4</v>
      </c>
      <c r="AC337" s="950">
        <v>4</v>
      </c>
      <c r="AD337" s="950">
        <v>9</v>
      </c>
      <c r="AE337" s="950">
        <v>6</v>
      </c>
      <c r="AF337" s="955">
        <f t="shared" si="767"/>
        <v>7.75</v>
      </c>
      <c r="AG337" s="955">
        <f t="shared" si="768"/>
        <v>28</v>
      </c>
      <c r="AH337" s="955">
        <f t="shared" si="769"/>
        <v>14.5</v>
      </c>
      <c r="AI337" s="955">
        <v>0</v>
      </c>
      <c r="AJ337" s="955">
        <v>0</v>
      </c>
      <c r="AK337" s="948">
        <f t="shared" si="770"/>
        <v>2.1500000000000004</v>
      </c>
      <c r="AL337" s="948">
        <f t="shared" si="771"/>
        <v>2.1500000000000004</v>
      </c>
      <c r="AM337" s="948">
        <f t="shared" si="772"/>
        <v>3.2120000000000002</v>
      </c>
      <c r="AN337" s="948">
        <f t="shared" si="773"/>
        <v>3.2120000000000002</v>
      </c>
      <c r="AO337" s="948">
        <f t="shared" si="774"/>
        <v>2.1500000000000004</v>
      </c>
      <c r="AP337" s="948">
        <f t="shared" si="775"/>
        <v>2.1500000000000004</v>
      </c>
      <c r="AQ337" s="948">
        <f t="shared" si="776"/>
        <v>1.708</v>
      </c>
      <c r="AR337" s="948">
        <f t="shared" si="777"/>
        <v>0</v>
      </c>
      <c r="AS337" s="948">
        <f t="shared" si="778"/>
        <v>0</v>
      </c>
      <c r="AT337" s="948">
        <f t="shared" si="779"/>
        <v>19.350000000000001</v>
      </c>
      <c r="AU337" s="948">
        <f t="shared" si="780"/>
        <v>12.900000000000002</v>
      </c>
      <c r="AV337" s="948">
        <f t="shared" si="781"/>
        <v>12.848000000000001</v>
      </c>
      <c r="AW337" s="948">
        <f t="shared" si="782"/>
        <v>12.848000000000001</v>
      </c>
      <c r="AX337" s="948">
        <f t="shared" si="783"/>
        <v>19.350000000000001</v>
      </c>
      <c r="AY337" s="948">
        <f t="shared" si="784"/>
        <v>12.900000000000002</v>
      </c>
      <c r="AZ337" s="948">
        <f t="shared" si="785"/>
        <v>85.826999999999998</v>
      </c>
      <c r="BA337" s="948">
        <f t="shared" si="786"/>
        <v>0</v>
      </c>
      <c r="BB337" s="948">
        <f t="shared" si="787"/>
        <v>0</v>
      </c>
      <c r="BC337" s="957">
        <f t="shared" si="788"/>
        <v>1.5786666666666667</v>
      </c>
      <c r="BD337" s="957">
        <f t="shared" si="788"/>
        <v>1.5786666666666667</v>
      </c>
      <c r="BE337" s="957">
        <f t="shared" si="788"/>
        <v>1.5786666666666667</v>
      </c>
      <c r="BF337" s="957">
        <f t="shared" si="788"/>
        <v>1.5786666666666667</v>
      </c>
      <c r="BG337" s="957">
        <f t="shared" si="788"/>
        <v>1.5786666666666667</v>
      </c>
      <c r="BH337" s="957">
        <f t="shared" si="788"/>
        <v>1.5786666666666667</v>
      </c>
      <c r="BI337" s="957">
        <f t="shared" si="788"/>
        <v>0.39466666666666667</v>
      </c>
      <c r="BJ337" s="957">
        <f t="shared" si="788"/>
        <v>0</v>
      </c>
      <c r="BK337" s="957">
        <f t="shared" si="788"/>
        <v>0</v>
      </c>
      <c r="BL337" s="948">
        <f t="shared" si="789"/>
        <v>30.547200000000004</v>
      </c>
      <c r="BM337" s="948">
        <f t="shared" si="789"/>
        <v>20.364800000000002</v>
      </c>
      <c r="BN337" s="948">
        <f t="shared" si="789"/>
        <v>20.282709333333333</v>
      </c>
      <c r="BO337" s="948">
        <f t="shared" si="789"/>
        <v>20.282709333333333</v>
      </c>
      <c r="BP337" s="948">
        <f t="shared" si="789"/>
        <v>30.547200000000004</v>
      </c>
      <c r="BQ337" s="948">
        <f t="shared" si="789"/>
        <v>20.364800000000002</v>
      </c>
      <c r="BR337" s="948">
        <f t="shared" si="789"/>
        <v>33.873055999999998</v>
      </c>
      <c r="BS337" s="948">
        <f t="shared" si="790"/>
        <v>0</v>
      </c>
      <c r="BT337" s="955">
        <f t="shared" si="791"/>
        <v>205.29055982607341</v>
      </c>
    </row>
    <row r="338" spans="1:72">
      <c r="A338" s="952">
        <v>6</v>
      </c>
      <c r="B338" s="952" t="s">
        <v>1192</v>
      </c>
      <c r="C338" s="950" t="s">
        <v>1193</v>
      </c>
      <c r="D338" s="950">
        <v>1</v>
      </c>
      <c r="E338" s="950">
        <v>1</v>
      </c>
      <c r="F338" s="948">
        <v>14</v>
      </c>
      <c r="G338" s="948">
        <v>0.3</v>
      </c>
      <c r="H338" s="948">
        <v>0.7</v>
      </c>
      <c r="I338" s="948">
        <v>0.12</v>
      </c>
      <c r="J338" s="948">
        <f t="shared" si="765"/>
        <v>0.57999999999999996</v>
      </c>
      <c r="K338" s="948">
        <f t="shared" si="792"/>
        <v>2.4359999999999999</v>
      </c>
      <c r="L338" s="948">
        <f t="shared" si="793"/>
        <v>16.239999999999998</v>
      </c>
      <c r="M338" s="952"/>
      <c r="N338" s="950">
        <v>25</v>
      </c>
      <c r="O338" s="950">
        <v>25</v>
      </c>
      <c r="P338" s="950">
        <v>25</v>
      </c>
      <c r="Q338" s="950">
        <v>25</v>
      </c>
      <c r="R338" s="950">
        <v>25</v>
      </c>
      <c r="S338" s="950">
        <v>25</v>
      </c>
      <c r="T338" s="950">
        <v>8</v>
      </c>
      <c r="U338" s="950"/>
      <c r="V338" s="950"/>
      <c r="W338" s="950">
        <v>200</v>
      </c>
      <c r="X338" s="950">
        <v>100</v>
      </c>
      <c r="Y338" s="950">
        <v>100</v>
      </c>
      <c r="Z338" s="950">
        <v>9</v>
      </c>
      <c r="AA338" s="950">
        <v>6</v>
      </c>
      <c r="AB338" s="950">
        <v>4</v>
      </c>
      <c r="AC338" s="950">
        <v>4</v>
      </c>
      <c r="AD338" s="950">
        <v>9</v>
      </c>
      <c r="AE338" s="950">
        <v>6</v>
      </c>
      <c r="AF338" s="955">
        <f t="shared" si="767"/>
        <v>18.5</v>
      </c>
      <c r="AG338" s="955">
        <f t="shared" si="768"/>
        <v>71</v>
      </c>
      <c r="AH338" s="955">
        <f t="shared" si="769"/>
        <v>36</v>
      </c>
      <c r="AI338" s="955">
        <v>0</v>
      </c>
      <c r="AJ338" s="955">
        <v>0</v>
      </c>
      <c r="AK338" s="948">
        <f t="shared" si="770"/>
        <v>4.75</v>
      </c>
      <c r="AL338" s="948">
        <f t="shared" si="771"/>
        <v>4.75</v>
      </c>
      <c r="AM338" s="948">
        <f t="shared" si="772"/>
        <v>7.8</v>
      </c>
      <c r="AN338" s="948">
        <f t="shared" si="773"/>
        <v>7.8</v>
      </c>
      <c r="AO338" s="948">
        <f t="shared" si="774"/>
        <v>4.75</v>
      </c>
      <c r="AP338" s="948">
        <f t="shared" si="775"/>
        <v>4.75</v>
      </c>
      <c r="AQ338" s="948">
        <f t="shared" si="776"/>
        <v>1.8080000000000001</v>
      </c>
      <c r="AR338" s="948">
        <f t="shared" si="777"/>
        <v>0</v>
      </c>
      <c r="AS338" s="948">
        <f t="shared" si="778"/>
        <v>0</v>
      </c>
      <c r="AT338" s="948">
        <f t="shared" si="779"/>
        <v>42.75</v>
      </c>
      <c r="AU338" s="948">
        <f t="shared" si="780"/>
        <v>28.5</v>
      </c>
      <c r="AV338" s="948">
        <f t="shared" si="781"/>
        <v>31.2</v>
      </c>
      <c r="AW338" s="948">
        <f t="shared" si="782"/>
        <v>31.2</v>
      </c>
      <c r="AX338" s="948">
        <f t="shared" si="783"/>
        <v>42.75</v>
      </c>
      <c r="AY338" s="948">
        <f t="shared" si="784"/>
        <v>28.5</v>
      </c>
      <c r="AZ338" s="948">
        <f t="shared" si="785"/>
        <v>226.904</v>
      </c>
      <c r="BA338" s="948">
        <f t="shared" si="786"/>
        <v>0</v>
      </c>
      <c r="BB338" s="948">
        <f t="shared" si="787"/>
        <v>0</v>
      </c>
      <c r="BC338" s="957">
        <f t="shared" si="788"/>
        <v>3.8541666666666665</v>
      </c>
      <c r="BD338" s="957">
        <f t="shared" si="788"/>
        <v>3.8541666666666665</v>
      </c>
      <c r="BE338" s="957">
        <f t="shared" si="788"/>
        <v>3.8541666666666665</v>
      </c>
      <c r="BF338" s="957">
        <f t="shared" si="788"/>
        <v>3.8541666666666665</v>
      </c>
      <c r="BG338" s="957">
        <f t="shared" si="788"/>
        <v>3.8541666666666665</v>
      </c>
      <c r="BH338" s="957">
        <f t="shared" si="788"/>
        <v>3.8541666666666665</v>
      </c>
      <c r="BI338" s="957">
        <f t="shared" si="788"/>
        <v>0.39466666666666667</v>
      </c>
      <c r="BJ338" s="957">
        <f t="shared" si="788"/>
        <v>0</v>
      </c>
      <c r="BK338" s="957">
        <f t="shared" si="788"/>
        <v>0</v>
      </c>
      <c r="BL338" s="948">
        <f t="shared" si="789"/>
        <v>164.765625</v>
      </c>
      <c r="BM338" s="948">
        <f t="shared" si="789"/>
        <v>109.84375</v>
      </c>
      <c r="BN338" s="948">
        <f t="shared" si="789"/>
        <v>120.24999999999999</v>
      </c>
      <c r="BO338" s="948">
        <f t="shared" si="789"/>
        <v>120.24999999999999</v>
      </c>
      <c r="BP338" s="948">
        <f t="shared" si="789"/>
        <v>164.765625</v>
      </c>
      <c r="BQ338" s="948">
        <f t="shared" si="789"/>
        <v>109.84375</v>
      </c>
      <c r="BR338" s="948">
        <f t="shared" si="789"/>
        <v>89.551445333333334</v>
      </c>
      <c r="BS338" s="948">
        <f t="shared" si="790"/>
        <v>0</v>
      </c>
      <c r="BT338" s="955">
        <f t="shared" si="791"/>
        <v>360.94835604816637</v>
      </c>
    </row>
    <row r="339" spans="1:72">
      <c r="A339" s="952">
        <v>7</v>
      </c>
      <c r="B339" s="952" t="s">
        <v>1177</v>
      </c>
      <c r="C339" s="950" t="s">
        <v>1099</v>
      </c>
      <c r="D339" s="950">
        <v>1</v>
      </c>
      <c r="E339" s="950">
        <v>1</v>
      </c>
      <c r="F339" s="948">
        <v>4.75</v>
      </c>
      <c r="G339" s="948">
        <v>0.25</v>
      </c>
      <c r="H339" s="948">
        <v>0.6</v>
      </c>
      <c r="I339" s="948">
        <v>0.12</v>
      </c>
      <c r="J339" s="948">
        <v>0.48</v>
      </c>
      <c r="K339" s="948">
        <v>0.64800000000000002</v>
      </c>
      <c r="L339" s="948">
        <v>5.1840000000000002</v>
      </c>
      <c r="M339" s="952"/>
      <c r="N339" s="950">
        <v>16</v>
      </c>
      <c r="O339" s="950">
        <v>16</v>
      </c>
      <c r="P339" s="950">
        <v>16</v>
      </c>
      <c r="Q339" s="950">
        <v>16</v>
      </c>
      <c r="R339" s="950">
        <v>16</v>
      </c>
      <c r="S339" s="950">
        <v>16</v>
      </c>
      <c r="T339" s="950">
        <v>8</v>
      </c>
      <c r="U339" s="950"/>
      <c r="V339" s="950"/>
      <c r="W339" s="950">
        <v>200</v>
      </c>
      <c r="X339" s="950">
        <v>100</v>
      </c>
      <c r="Y339" s="950">
        <v>100</v>
      </c>
      <c r="Z339" s="950">
        <v>9</v>
      </c>
      <c r="AA339" s="950">
        <v>6</v>
      </c>
      <c r="AB339" s="950">
        <v>4</v>
      </c>
      <c r="AC339" s="950">
        <v>4</v>
      </c>
      <c r="AD339" s="950">
        <v>9</v>
      </c>
      <c r="AE339" s="950">
        <v>6</v>
      </c>
      <c r="AF339" s="955">
        <v>7.75</v>
      </c>
      <c r="AG339" s="955">
        <v>28</v>
      </c>
      <c r="AH339" s="955">
        <v>14.5</v>
      </c>
      <c r="AI339" s="955">
        <v>0</v>
      </c>
      <c r="AJ339" s="955">
        <v>0</v>
      </c>
      <c r="AK339" s="948">
        <v>2.1500000000000004</v>
      </c>
      <c r="AL339" s="948">
        <v>2.1500000000000004</v>
      </c>
      <c r="AM339" s="948">
        <v>3.2120000000000002</v>
      </c>
      <c r="AN339" s="948">
        <v>3.2120000000000002</v>
      </c>
      <c r="AO339" s="948">
        <v>2.1500000000000004</v>
      </c>
      <c r="AP339" s="948">
        <v>2.1500000000000004</v>
      </c>
      <c r="AQ339" s="948">
        <v>1.508</v>
      </c>
      <c r="AR339" s="948">
        <v>0</v>
      </c>
      <c r="AS339" s="948">
        <v>0</v>
      </c>
      <c r="AT339" s="948">
        <v>19.350000000000001</v>
      </c>
      <c r="AU339" s="948">
        <v>12.900000000000002</v>
      </c>
      <c r="AV339" s="948">
        <v>12.848000000000001</v>
      </c>
      <c r="AW339" s="948">
        <v>12.848000000000001</v>
      </c>
      <c r="AX339" s="948">
        <v>19.350000000000001</v>
      </c>
      <c r="AY339" s="948">
        <v>12.900000000000002</v>
      </c>
      <c r="AZ339" s="948">
        <v>75.777000000000001</v>
      </c>
      <c r="BA339" s="948">
        <v>0</v>
      </c>
      <c r="BB339" s="948">
        <v>0</v>
      </c>
      <c r="BC339" s="957">
        <v>1.5786666666666667</v>
      </c>
      <c r="BD339" s="957">
        <v>1.5786666666666667</v>
      </c>
      <c r="BE339" s="957">
        <v>1.5786666666666667</v>
      </c>
      <c r="BF339" s="957">
        <v>1.5786666666666667</v>
      </c>
      <c r="BG339" s="957">
        <v>1.5786666666666667</v>
      </c>
      <c r="BH339" s="957">
        <v>1.5786666666666667</v>
      </c>
      <c r="BI339" s="957">
        <v>0.39466666666666667</v>
      </c>
      <c r="BJ339" s="957">
        <v>0</v>
      </c>
      <c r="BK339" s="957">
        <v>0</v>
      </c>
      <c r="BL339" s="948">
        <v>30.547200000000004</v>
      </c>
      <c r="BM339" s="948">
        <v>20.364800000000002</v>
      </c>
      <c r="BN339" s="948">
        <v>20.282709333333333</v>
      </c>
      <c r="BO339" s="948">
        <v>20.282709333333333</v>
      </c>
      <c r="BP339" s="948">
        <v>30.547200000000004</v>
      </c>
      <c r="BQ339" s="948">
        <v>20.364800000000002</v>
      </c>
      <c r="BR339" s="948">
        <v>29.906656000000002</v>
      </c>
      <c r="BS339" s="948">
        <v>0</v>
      </c>
      <c r="BT339" s="955">
        <v>265.88900411522633</v>
      </c>
    </row>
    <row r="340" spans="1:72">
      <c r="A340" s="952">
        <v>8</v>
      </c>
      <c r="B340" s="952" t="s">
        <v>1179</v>
      </c>
      <c r="C340" s="950" t="s">
        <v>1125</v>
      </c>
      <c r="D340" s="950">
        <v>1</v>
      </c>
      <c r="E340" s="950">
        <v>1</v>
      </c>
      <c r="F340" s="948">
        <v>8</v>
      </c>
      <c r="G340" s="948">
        <v>0.3</v>
      </c>
      <c r="H340" s="948">
        <v>0.65</v>
      </c>
      <c r="I340" s="948">
        <v>0.12</v>
      </c>
      <c r="J340" s="948">
        <f t="shared" ref="J340:J343" si="794">H340-I340</f>
        <v>0.53</v>
      </c>
      <c r="K340" s="948">
        <f t="shared" ref="K340:K343" si="795">F340*G340*J340*D340*E340</f>
        <v>1.272</v>
      </c>
      <c r="L340" s="948">
        <f t="shared" ref="L340:L343" si="796">(2*J340)*F340*E340*D340</f>
        <v>8.48</v>
      </c>
      <c r="M340" s="952"/>
      <c r="N340" s="950">
        <v>16</v>
      </c>
      <c r="O340" s="950">
        <v>16</v>
      </c>
      <c r="P340" s="950">
        <v>16</v>
      </c>
      <c r="Q340" s="950">
        <v>16</v>
      </c>
      <c r="R340" s="950">
        <v>16</v>
      </c>
      <c r="S340" s="950">
        <v>16</v>
      </c>
      <c r="T340" s="950">
        <v>8</v>
      </c>
      <c r="U340" s="950"/>
      <c r="V340" s="950"/>
      <c r="W340" s="950">
        <v>200</v>
      </c>
      <c r="X340" s="950">
        <v>100</v>
      </c>
      <c r="Y340" s="950">
        <v>100</v>
      </c>
      <c r="Z340" s="950">
        <v>9</v>
      </c>
      <c r="AA340" s="950">
        <v>6</v>
      </c>
      <c r="AB340" s="950">
        <v>4</v>
      </c>
      <c r="AC340" s="950">
        <v>4</v>
      </c>
      <c r="AD340" s="950">
        <v>9</v>
      </c>
      <c r="AE340" s="950">
        <v>6</v>
      </c>
      <c r="AF340" s="955">
        <f t="shared" ref="AF340:AF343" si="797">(F340/4)/(W340/1000)+1</f>
        <v>11</v>
      </c>
      <c r="AG340" s="955">
        <f t="shared" ref="AG340:AG343" si="798">(F340/2)/(X340/1000)+1</f>
        <v>41</v>
      </c>
      <c r="AH340" s="955">
        <f t="shared" ref="AH340:AH343" si="799">(F340/4)/(Y340/1000)+1</f>
        <v>21</v>
      </c>
      <c r="AI340" s="955">
        <v>0</v>
      </c>
      <c r="AJ340" s="955">
        <v>0</v>
      </c>
      <c r="AK340" s="948">
        <f t="shared" ref="AK340:AK343" si="800">(F340/4)+(20*N340/1000)+(10*N340/1000)+(8*N340/1000)+(6*2*N340/1000)</f>
        <v>2.8000000000000003</v>
      </c>
      <c r="AL340" s="948">
        <f t="shared" ref="AL340:AL343" si="801">(F340/4)+(20*O340/1000)+(10*O340/1000)+(8*O340/1000)+(6*2*O340/1000)</f>
        <v>2.8000000000000003</v>
      </c>
      <c r="AM340" s="948">
        <f t="shared" ref="AM340:AM343" si="802">(F340/2)+(20*P340/1000)+(6*2*P340/1000)</f>
        <v>4.5120000000000005</v>
      </c>
      <c r="AN340" s="948">
        <f t="shared" ref="AN340:AN343" si="803">(F340/2)+(20*Q340/1000)+(6*2*Q340/1000)</f>
        <v>4.5120000000000005</v>
      </c>
      <c r="AO340" s="948">
        <f t="shared" ref="AO340:AO343" si="804">(F340/4)+(20*R340/1000)+(10*R340/1000)+(8*R340/1000)+(6*2*R340/1000)</f>
        <v>2.8000000000000003</v>
      </c>
      <c r="AP340" s="948">
        <f t="shared" ref="AP340:AP343" si="805">(F340/4)+(20*S340/1000)+(10*S340/1000)+(8*S340/1000)+(6*2*S340/1000)</f>
        <v>2.8000000000000003</v>
      </c>
      <c r="AQ340" s="948">
        <f t="shared" ref="AQ340:AQ343" si="806">(2*G340)+(2*H340)+(6*T340/1000)-(8*0.03)</f>
        <v>1.708</v>
      </c>
      <c r="AR340" s="948">
        <f t="shared" ref="AR340:AR343" si="807">((H340)+(2*6*U340/1000)-(2*0.03))*AI340</f>
        <v>0</v>
      </c>
      <c r="AS340" s="948">
        <f t="shared" ref="AS340:AS343" si="808">((G340)+(2*6*V340/1000)-(2*0.03))*AJ340</f>
        <v>0</v>
      </c>
      <c r="AT340" s="948">
        <f t="shared" ref="AT340:AT343" si="809">AK340*Z340*E340*D340</f>
        <v>25.200000000000003</v>
      </c>
      <c r="AU340" s="948">
        <f t="shared" ref="AU340:AU343" si="810">AL340*AA340*E340*D340</f>
        <v>16.8</v>
      </c>
      <c r="AV340" s="948">
        <f t="shared" ref="AV340:AV343" si="811">AM340*AB340*E340*D340</f>
        <v>18.048000000000002</v>
      </c>
      <c r="AW340" s="948">
        <f t="shared" ref="AW340:AW343" si="812">AN340*AC340*E340*D340</f>
        <v>18.048000000000002</v>
      </c>
      <c r="AX340" s="948">
        <f t="shared" ref="AX340:AX343" si="813">AO340*AD340*E340*D340</f>
        <v>25.200000000000003</v>
      </c>
      <c r="AY340" s="948">
        <f t="shared" ref="AY340:AY343" si="814">AP340*AE340*E340*D340</f>
        <v>16.8</v>
      </c>
      <c r="AZ340" s="948">
        <f t="shared" ref="AZ340:AZ343" si="815">AQ340*(AF340+AG340+AH340)*E340*D340</f>
        <v>124.684</v>
      </c>
      <c r="BA340" s="948">
        <f t="shared" ref="BA340:BA343" si="816">AR340*(AF340+AG340+AH340)*E340*D340</f>
        <v>0</v>
      </c>
      <c r="BB340" s="948">
        <f t="shared" ref="BB340:BB343" si="817">AS340*(AF340+AG340+AH340)*E340*D340</f>
        <v>0</v>
      </c>
      <c r="BC340" s="957">
        <f t="shared" ref="BC340:BK343" si="818">N340*N340*0.074/12</f>
        <v>1.5786666666666667</v>
      </c>
      <c r="BD340" s="957">
        <f t="shared" si="818"/>
        <v>1.5786666666666667</v>
      </c>
      <c r="BE340" s="957">
        <f t="shared" si="818"/>
        <v>1.5786666666666667</v>
      </c>
      <c r="BF340" s="957">
        <f t="shared" si="818"/>
        <v>1.5786666666666667</v>
      </c>
      <c r="BG340" s="957">
        <f t="shared" si="818"/>
        <v>1.5786666666666667</v>
      </c>
      <c r="BH340" s="957">
        <f t="shared" si="818"/>
        <v>1.5786666666666667</v>
      </c>
      <c r="BI340" s="957">
        <f t="shared" si="818"/>
        <v>0.39466666666666667</v>
      </c>
      <c r="BJ340" s="957">
        <f t="shared" si="818"/>
        <v>0</v>
      </c>
      <c r="BK340" s="957">
        <f t="shared" si="818"/>
        <v>0</v>
      </c>
      <c r="BL340" s="948">
        <f t="shared" ref="BL340:BR343" si="819">AT340*BC340</f>
        <v>39.782400000000003</v>
      </c>
      <c r="BM340" s="948">
        <f t="shared" si="819"/>
        <v>26.521599999999999</v>
      </c>
      <c r="BN340" s="948">
        <f t="shared" si="819"/>
        <v>28.491776000000002</v>
      </c>
      <c r="BO340" s="948">
        <f t="shared" si="819"/>
        <v>28.491776000000002</v>
      </c>
      <c r="BP340" s="948">
        <f t="shared" si="819"/>
        <v>39.782400000000003</v>
      </c>
      <c r="BQ340" s="948">
        <f t="shared" si="819"/>
        <v>26.521599999999999</v>
      </c>
      <c r="BR340" s="948">
        <f t="shared" si="819"/>
        <v>49.208618666666666</v>
      </c>
      <c r="BS340" s="948">
        <f>BB340*BK340</f>
        <v>0</v>
      </c>
      <c r="BT340" s="955">
        <f>SUM(BL340:BS340)/K340</f>
        <v>187.73598322851154</v>
      </c>
    </row>
    <row r="341" spans="1:72">
      <c r="A341" s="952">
        <v>9</v>
      </c>
      <c r="B341" s="952" t="s">
        <v>1180</v>
      </c>
      <c r="C341" s="950" t="s">
        <v>1127</v>
      </c>
      <c r="D341" s="950">
        <v>1</v>
      </c>
      <c r="E341" s="950">
        <v>1</v>
      </c>
      <c r="F341" s="948">
        <v>8.4</v>
      </c>
      <c r="G341" s="948">
        <v>0.3</v>
      </c>
      <c r="H341" s="948">
        <v>0.65</v>
      </c>
      <c r="I341" s="948">
        <v>0.12</v>
      </c>
      <c r="J341" s="948">
        <f t="shared" si="794"/>
        <v>0.53</v>
      </c>
      <c r="K341" s="948">
        <f t="shared" si="795"/>
        <v>1.3356000000000001</v>
      </c>
      <c r="L341" s="948">
        <f t="shared" si="796"/>
        <v>8.9040000000000017</v>
      </c>
      <c r="M341" s="952"/>
      <c r="N341" s="950">
        <v>16</v>
      </c>
      <c r="O341" s="950">
        <v>16</v>
      </c>
      <c r="P341" s="950">
        <v>16</v>
      </c>
      <c r="Q341" s="950">
        <v>16</v>
      </c>
      <c r="R341" s="950">
        <v>16</v>
      </c>
      <c r="S341" s="950">
        <v>16</v>
      </c>
      <c r="T341" s="950">
        <v>8</v>
      </c>
      <c r="U341" s="950"/>
      <c r="V341" s="950"/>
      <c r="W341" s="950">
        <v>200</v>
      </c>
      <c r="X341" s="950">
        <v>100</v>
      </c>
      <c r="Y341" s="950">
        <v>100</v>
      </c>
      <c r="Z341" s="950">
        <v>9</v>
      </c>
      <c r="AA341" s="950">
        <v>6</v>
      </c>
      <c r="AB341" s="950">
        <v>4</v>
      </c>
      <c r="AC341" s="950">
        <v>4</v>
      </c>
      <c r="AD341" s="950">
        <v>9</v>
      </c>
      <c r="AE341" s="950">
        <v>6</v>
      </c>
      <c r="AF341" s="955">
        <f t="shared" si="797"/>
        <v>11.5</v>
      </c>
      <c r="AG341" s="955">
        <f t="shared" si="798"/>
        <v>43</v>
      </c>
      <c r="AH341" s="955">
        <f t="shared" si="799"/>
        <v>22</v>
      </c>
      <c r="AI341" s="955">
        <v>0</v>
      </c>
      <c r="AJ341" s="955">
        <v>0</v>
      </c>
      <c r="AK341" s="948">
        <f t="shared" si="800"/>
        <v>2.9000000000000004</v>
      </c>
      <c r="AL341" s="948">
        <f t="shared" si="801"/>
        <v>2.9000000000000004</v>
      </c>
      <c r="AM341" s="948">
        <f t="shared" si="802"/>
        <v>4.7120000000000006</v>
      </c>
      <c r="AN341" s="948">
        <f t="shared" si="803"/>
        <v>4.7120000000000006</v>
      </c>
      <c r="AO341" s="948">
        <f t="shared" si="804"/>
        <v>2.9000000000000004</v>
      </c>
      <c r="AP341" s="948">
        <f t="shared" si="805"/>
        <v>2.9000000000000004</v>
      </c>
      <c r="AQ341" s="948">
        <f t="shared" si="806"/>
        <v>1.708</v>
      </c>
      <c r="AR341" s="948">
        <f t="shared" si="807"/>
        <v>0</v>
      </c>
      <c r="AS341" s="948">
        <f t="shared" si="808"/>
        <v>0</v>
      </c>
      <c r="AT341" s="948">
        <f t="shared" si="809"/>
        <v>26.1</v>
      </c>
      <c r="AU341" s="948">
        <f t="shared" si="810"/>
        <v>17.400000000000002</v>
      </c>
      <c r="AV341" s="948">
        <f t="shared" si="811"/>
        <v>18.848000000000003</v>
      </c>
      <c r="AW341" s="948">
        <f t="shared" si="812"/>
        <v>18.848000000000003</v>
      </c>
      <c r="AX341" s="948">
        <f t="shared" si="813"/>
        <v>26.1</v>
      </c>
      <c r="AY341" s="948">
        <f t="shared" si="814"/>
        <v>17.400000000000002</v>
      </c>
      <c r="AZ341" s="948">
        <f t="shared" si="815"/>
        <v>130.66200000000001</v>
      </c>
      <c r="BA341" s="948">
        <f t="shared" si="816"/>
        <v>0</v>
      </c>
      <c r="BB341" s="948">
        <f t="shared" si="817"/>
        <v>0</v>
      </c>
      <c r="BC341" s="957">
        <f t="shared" si="818"/>
        <v>1.5786666666666667</v>
      </c>
      <c r="BD341" s="957">
        <f t="shared" si="818"/>
        <v>1.5786666666666667</v>
      </c>
      <c r="BE341" s="957">
        <f t="shared" si="818"/>
        <v>1.5786666666666667</v>
      </c>
      <c r="BF341" s="957">
        <f t="shared" si="818"/>
        <v>1.5786666666666667</v>
      </c>
      <c r="BG341" s="957">
        <f t="shared" si="818"/>
        <v>1.5786666666666667</v>
      </c>
      <c r="BH341" s="957">
        <f t="shared" si="818"/>
        <v>1.5786666666666667</v>
      </c>
      <c r="BI341" s="957">
        <f t="shared" si="818"/>
        <v>0.39466666666666667</v>
      </c>
      <c r="BJ341" s="957">
        <f t="shared" si="818"/>
        <v>0</v>
      </c>
      <c r="BK341" s="957">
        <f t="shared" si="818"/>
        <v>0</v>
      </c>
      <c r="BL341" s="948">
        <f t="shared" si="819"/>
        <v>41.203200000000002</v>
      </c>
      <c r="BM341" s="948">
        <f t="shared" si="819"/>
        <v>27.468800000000002</v>
      </c>
      <c r="BN341" s="948">
        <f t="shared" si="819"/>
        <v>29.754709333333338</v>
      </c>
      <c r="BO341" s="948">
        <f t="shared" si="819"/>
        <v>29.754709333333338</v>
      </c>
      <c r="BP341" s="948">
        <f t="shared" si="819"/>
        <v>41.203200000000002</v>
      </c>
      <c r="BQ341" s="948">
        <f t="shared" si="819"/>
        <v>27.468800000000002</v>
      </c>
      <c r="BR341" s="948">
        <f t="shared" si="819"/>
        <v>51.567936000000003</v>
      </c>
      <c r="BS341" s="948">
        <f>BB341*BK341</f>
        <v>0</v>
      </c>
      <c r="BT341" s="955">
        <f>SUM(BL341:BS341)/K341</f>
        <v>185.99981631226916</v>
      </c>
    </row>
    <row r="342" spans="1:72">
      <c r="A342" s="952">
        <v>10</v>
      </c>
      <c r="B342" s="952" t="s">
        <v>1194</v>
      </c>
      <c r="C342" s="950" t="s">
        <v>1195</v>
      </c>
      <c r="D342" s="950">
        <v>1</v>
      </c>
      <c r="E342" s="950">
        <v>1</v>
      </c>
      <c r="F342" s="948">
        <v>12</v>
      </c>
      <c r="G342" s="948">
        <v>0.35</v>
      </c>
      <c r="H342" s="948">
        <v>0.8</v>
      </c>
      <c r="I342" s="948">
        <v>0.12</v>
      </c>
      <c r="J342" s="948">
        <f t="shared" si="794"/>
        <v>0.68</v>
      </c>
      <c r="K342" s="948">
        <f t="shared" si="795"/>
        <v>2.8559999999999999</v>
      </c>
      <c r="L342" s="948">
        <f t="shared" si="796"/>
        <v>16.32</v>
      </c>
      <c r="M342" s="952"/>
      <c r="N342" s="950">
        <v>25</v>
      </c>
      <c r="O342" s="950">
        <v>25</v>
      </c>
      <c r="P342" s="950">
        <v>25</v>
      </c>
      <c r="Q342" s="950">
        <v>25</v>
      </c>
      <c r="R342" s="950">
        <v>25</v>
      </c>
      <c r="S342" s="950">
        <v>25</v>
      </c>
      <c r="T342" s="950">
        <v>8</v>
      </c>
      <c r="U342" s="950"/>
      <c r="V342" s="950"/>
      <c r="W342" s="950">
        <v>200</v>
      </c>
      <c r="X342" s="950">
        <v>100</v>
      </c>
      <c r="Y342" s="950">
        <v>100</v>
      </c>
      <c r="Z342" s="950">
        <v>9</v>
      </c>
      <c r="AA342" s="950">
        <v>6</v>
      </c>
      <c r="AB342" s="950">
        <v>4</v>
      </c>
      <c r="AC342" s="950">
        <v>4</v>
      </c>
      <c r="AD342" s="950">
        <v>9</v>
      </c>
      <c r="AE342" s="950">
        <v>6</v>
      </c>
      <c r="AF342" s="955">
        <f t="shared" si="797"/>
        <v>16</v>
      </c>
      <c r="AG342" s="955">
        <f t="shared" si="798"/>
        <v>61</v>
      </c>
      <c r="AH342" s="955">
        <f t="shared" si="799"/>
        <v>31</v>
      </c>
      <c r="AI342" s="955">
        <v>0</v>
      </c>
      <c r="AJ342" s="955">
        <v>0</v>
      </c>
      <c r="AK342" s="948">
        <f t="shared" si="800"/>
        <v>4.25</v>
      </c>
      <c r="AL342" s="948">
        <f t="shared" si="801"/>
        <v>4.25</v>
      </c>
      <c r="AM342" s="948">
        <f t="shared" si="802"/>
        <v>6.8</v>
      </c>
      <c r="AN342" s="948">
        <f t="shared" si="803"/>
        <v>6.8</v>
      </c>
      <c r="AO342" s="948">
        <f t="shared" si="804"/>
        <v>4.25</v>
      </c>
      <c r="AP342" s="948">
        <f t="shared" si="805"/>
        <v>4.25</v>
      </c>
      <c r="AQ342" s="948">
        <f t="shared" si="806"/>
        <v>2.1079999999999997</v>
      </c>
      <c r="AR342" s="948">
        <f t="shared" si="807"/>
        <v>0</v>
      </c>
      <c r="AS342" s="948">
        <f t="shared" si="808"/>
        <v>0</v>
      </c>
      <c r="AT342" s="948">
        <f t="shared" si="809"/>
        <v>38.25</v>
      </c>
      <c r="AU342" s="948">
        <f t="shared" si="810"/>
        <v>25.5</v>
      </c>
      <c r="AV342" s="948">
        <f t="shared" si="811"/>
        <v>27.2</v>
      </c>
      <c r="AW342" s="948">
        <f t="shared" si="812"/>
        <v>27.2</v>
      </c>
      <c r="AX342" s="948">
        <f t="shared" si="813"/>
        <v>38.25</v>
      </c>
      <c r="AY342" s="948">
        <f t="shared" si="814"/>
        <v>25.5</v>
      </c>
      <c r="AZ342" s="948">
        <f t="shared" si="815"/>
        <v>227.66399999999996</v>
      </c>
      <c r="BA342" s="948">
        <f t="shared" si="816"/>
        <v>0</v>
      </c>
      <c r="BB342" s="948">
        <f t="shared" si="817"/>
        <v>0</v>
      </c>
      <c r="BC342" s="957">
        <f t="shared" si="818"/>
        <v>3.8541666666666665</v>
      </c>
      <c r="BD342" s="957">
        <f t="shared" si="818"/>
        <v>3.8541666666666665</v>
      </c>
      <c r="BE342" s="957">
        <f t="shared" si="818"/>
        <v>3.8541666666666665</v>
      </c>
      <c r="BF342" s="957">
        <f t="shared" si="818"/>
        <v>3.8541666666666665</v>
      </c>
      <c r="BG342" s="957">
        <f t="shared" si="818"/>
        <v>3.8541666666666665</v>
      </c>
      <c r="BH342" s="957">
        <f t="shared" si="818"/>
        <v>3.8541666666666665</v>
      </c>
      <c r="BI342" s="957">
        <f t="shared" si="818"/>
        <v>0.39466666666666667</v>
      </c>
      <c r="BJ342" s="957">
        <f t="shared" si="818"/>
        <v>0</v>
      </c>
      <c r="BK342" s="957">
        <f t="shared" si="818"/>
        <v>0</v>
      </c>
      <c r="BL342" s="948">
        <f t="shared" si="819"/>
        <v>147.421875</v>
      </c>
      <c r="BM342" s="948">
        <f t="shared" si="819"/>
        <v>98.28125</v>
      </c>
      <c r="BN342" s="948">
        <f t="shared" si="819"/>
        <v>104.83333333333333</v>
      </c>
      <c r="BO342" s="948">
        <f t="shared" si="819"/>
        <v>104.83333333333333</v>
      </c>
      <c r="BP342" s="948">
        <f t="shared" si="819"/>
        <v>147.421875</v>
      </c>
      <c r="BQ342" s="948">
        <f t="shared" si="819"/>
        <v>98.28125</v>
      </c>
      <c r="BR342" s="948">
        <f t="shared" si="819"/>
        <v>89.85139199999999</v>
      </c>
      <c r="BS342" s="948">
        <f>BB342*BK342</f>
        <v>0</v>
      </c>
      <c r="BT342" s="955">
        <f>SUM(BL342:BS342)/K342</f>
        <v>276.93428174603173</v>
      </c>
    </row>
    <row r="343" spans="1:72">
      <c r="A343" s="952">
        <v>11</v>
      </c>
      <c r="B343" s="952" t="s">
        <v>1196</v>
      </c>
      <c r="C343" s="950" t="s">
        <v>1197</v>
      </c>
      <c r="D343" s="950">
        <v>1</v>
      </c>
      <c r="E343" s="950">
        <v>1</v>
      </c>
      <c r="F343" s="948">
        <v>16</v>
      </c>
      <c r="G343" s="948">
        <v>0.3</v>
      </c>
      <c r="H343" s="948">
        <v>0.7</v>
      </c>
      <c r="I343" s="948">
        <v>0.12</v>
      </c>
      <c r="J343" s="948">
        <f t="shared" si="794"/>
        <v>0.57999999999999996</v>
      </c>
      <c r="K343" s="948">
        <f t="shared" si="795"/>
        <v>2.7839999999999998</v>
      </c>
      <c r="L343" s="948">
        <f t="shared" si="796"/>
        <v>18.559999999999999</v>
      </c>
      <c r="M343" s="952"/>
      <c r="N343" s="950">
        <v>16</v>
      </c>
      <c r="O343" s="950">
        <v>16</v>
      </c>
      <c r="P343" s="950">
        <v>16</v>
      </c>
      <c r="Q343" s="950">
        <v>16</v>
      </c>
      <c r="R343" s="950">
        <v>16</v>
      </c>
      <c r="S343" s="950">
        <v>16</v>
      </c>
      <c r="T343" s="950">
        <v>8</v>
      </c>
      <c r="U343" s="950"/>
      <c r="V343" s="950"/>
      <c r="W343" s="950">
        <v>200</v>
      </c>
      <c r="X343" s="950">
        <v>100</v>
      </c>
      <c r="Y343" s="950">
        <v>100</v>
      </c>
      <c r="Z343" s="950">
        <v>9</v>
      </c>
      <c r="AA343" s="950">
        <v>6</v>
      </c>
      <c r="AB343" s="950">
        <v>4</v>
      </c>
      <c r="AC343" s="950">
        <v>4</v>
      </c>
      <c r="AD343" s="950">
        <v>9</v>
      </c>
      <c r="AE343" s="950">
        <v>6</v>
      </c>
      <c r="AF343" s="955">
        <f t="shared" si="797"/>
        <v>21</v>
      </c>
      <c r="AG343" s="955">
        <f t="shared" si="798"/>
        <v>81</v>
      </c>
      <c r="AH343" s="955">
        <f t="shared" si="799"/>
        <v>41</v>
      </c>
      <c r="AI343" s="955">
        <v>0</v>
      </c>
      <c r="AJ343" s="955">
        <v>0</v>
      </c>
      <c r="AK343" s="948">
        <f t="shared" si="800"/>
        <v>4.8000000000000007</v>
      </c>
      <c r="AL343" s="948">
        <f t="shared" si="801"/>
        <v>4.8000000000000007</v>
      </c>
      <c r="AM343" s="948">
        <f t="shared" si="802"/>
        <v>8.5120000000000005</v>
      </c>
      <c r="AN343" s="948">
        <f t="shared" si="803"/>
        <v>8.5120000000000005</v>
      </c>
      <c r="AO343" s="948">
        <f t="shared" si="804"/>
        <v>4.8000000000000007</v>
      </c>
      <c r="AP343" s="948">
        <f t="shared" si="805"/>
        <v>4.8000000000000007</v>
      </c>
      <c r="AQ343" s="948">
        <f t="shared" si="806"/>
        <v>1.8080000000000001</v>
      </c>
      <c r="AR343" s="948">
        <f t="shared" si="807"/>
        <v>0</v>
      </c>
      <c r="AS343" s="948">
        <f t="shared" si="808"/>
        <v>0</v>
      </c>
      <c r="AT343" s="948">
        <f t="shared" si="809"/>
        <v>43.2</v>
      </c>
      <c r="AU343" s="948">
        <f t="shared" si="810"/>
        <v>28.800000000000004</v>
      </c>
      <c r="AV343" s="948">
        <f t="shared" si="811"/>
        <v>34.048000000000002</v>
      </c>
      <c r="AW343" s="948">
        <f t="shared" si="812"/>
        <v>34.048000000000002</v>
      </c>
      <c r="AX343" s="948">
        <f t="shared" si="813"/>
        <v>43.2</v>
      </c>
      <c r="AY343" s="948">
        <f t="shared" si="814"/>
        <v>28.800000000000004</v>
      </c>
      <c r="AZ343" s="948">
        <f t="shared" si="815"/>
        <v>258.54399999999998</v>
      </c>
      <c r="BA343" s="948">
        <f t="shared" si="816"/>
        <v>0</v>
      </c>
      <c r="BB343" s="948">
        <f t="shared" si="817"/>
        <v>0</v>
      </c>
      <c r="BC343" s="957">
        <f t="shared" si="818"/>
        <v>1.5786666666666667</v>
      </c>
      <c r="BD343" s="957">
        <f t="shared" si="818"/>
        <v>1.5786666666666667</v>
      </c>
      <c r="BE343" s="957">
        <f t="shared" si="818"/>
        <v>1.5786666666666667</v>
      </c>
      <c r="BF343" s="957">
        <f t="shared" si="818"/>
        <v>1.5786666666666667</v>
      </c>
      <c r="BG343" s="957">
        <f t="shared" si="818"/>
        <v>1.5786666666666667</v>
      </c>
      <c r="BH343" s="957">
        <f t="shared" si="818"/>
        <v>1.5786666666666667</v>
      </c>
      <c r="BI343" s="957">
        <f t="shared" si="818"/>
        <v>0.39466666666666667</v>
      </c>
      <c r="BJ343" s="957">
        <f t="shared" si="818"/>
        <v>0</v>
      </c>
      <c r="BK343" s="957">
        <f t="shared" si="818"/>
        <v>0</v>
      </c>
      <c r="BL343" s="948">
        <f t="shared" si="819"/>
        <v>68.198400000000007</v>
      </c>
      <c r="BM343" s="948">
        <f t="shared" si="819"/>
        <v>45.465600000000009</v>
      </c>
      <c r="BN343" s="948">
        <f t="shared" si="819"/>
        <v>53.750442666666672</v>
      </c>
      <c r="BO343" s="948">
        <f t="shared" si="819"/>
        <v>53.750442666666672</v>
      </c>
      <c r="BP343" s="948">
        <f t="shared" si="819"/>
        <v>68.198400000000007</v>
      </c>
      <c r="BQ343" s="948">
        <f t="shared" si="819"/>
        <v>45.465600000000009</v>
      </c>
      <c r="BR343" s="948">
        <f t="shared" si="819"/>
        <v>102.03869866666666</v>
      </c>
      <c r="BS343" s="948">
        <f>BB343*BK343</f>
        <v>0</v>
      </c>
      <c r="BT343" s="955">
        <f>SUM(BL343:BS343)/K343</f>
        <v>156.92082758620691</v>
      </c>
    </row>
    <row r="344" spans="1:72">
      <c r="A344" s="952"/>
      <c r="B344" s="952"/>
      <c r="C344" s="950"/>
      <c r="D344" s="950"/>
      <c r="E344" s="950"/>
      <c r="F344" s="948"/>
      <c r="G344" s="948"/>
      <c r="H344" s="948"/>
      <c r="I344" s="948"/>
      <c r="J344" s="948"/>
      <c r="K344" s="948">
        <f>SUM(K325:K343)</f>
        <v>68.524200000000022</v>
      </c>
      <c r="L344" s="948">
        <f>SUM(L325:L343)</f>
        <v>484.51200000000006</v>
      </c>
      <c r="M344" s="952"/>
      <c r="N344" s="950"/>
      <c r="O344" s="950"/>
      <c r="P344" s="950"/>
      <c r="Q344" s="950"/>
      <c r="R344" s="950"/>
      <c r="S344" s="950"/>
      <c r="T344" s="950"/>
      <c r="U344" s="950"/>
      <c r="V344" s="950"/>
      <c r="W344" s="950"/>
      <c r="X344" s="950"/>
      <c r="Y344" s="950"/>
      <c r="Z344" s="950"/>
      <c r="AA344" s="950"/>
      <c r="AB344" s="950"/>
      <c r="AC344" s="950"/>
      <c r="AD344" s="950"/>
      <c r="AE344" s="950"/>
      <c r="AF344" s="955"/>
      <c r="AG344" s="955"/>
      <c r="AH344" s="955"/>
      <c r="AI344" s="955"/>
      <c r="AJ344" s="955"/>
      <c r="AK344" s="948"/>
      <c r="AL344" s="948"/>
      <c r="AM344" s="948"/>
      <c r="AN344" s="948"/>
      <c r="AO344" s="948"/>
      <c r="AP344" s="948"/>
      <c r="AQ344" s="948"/>
      <c r="AR344" s="948"/>
      <c r="AS344" s="948"/>
      <c r="AT344" s="948"/>
      <c r="AU344" s="948"/>
      <c r="AV344" s="948"/>
      <c r="AW344" s="948"/>
      <c r="AX344" s="948"/>
      <c r="AY344" s="948"/>
      <c r="AZ344" s="948"/>
      <c r="BA344" s="948"/>
      <c r="BB344" s="948"/>
      <c r="BC344" s="957"/>
      <c r="BD344" s="957"/>
      <c r="BE344" s="957"/>
      <c r="BF344" s="957"/>
      <c r="BG344" s="957"/>
      <c r="BH344" s="957"/>
      <c r="BI344" s="957"/>
      <c r="BJ344" s="957"/>
      <c r="BK344" s="957"/>
      <c r="BL344" s="948"/>
      <c r="BM344" s="948"/>
      <c r="BN344" s="948"/>
      <c r="BO344" s="948"/>
      <c r="BP344" s="948"/>
      <c r="BQ344" s="948"/>
      <c r="BR344" s="948"/>
      <c r="BS344" s="948"/>
      <c r="BT344" s="955"/>
    </row>
    <row r="345" spans="1:72">
      <c r="A345" s="949" t="s">
        <v>66</v>
      </c>
      <c r="B345" s="949" t="s">
        <v>1050</v>
      </c>
      <c r="C345" s="949" t="s">
        <v>983</v>
      </c>
      <c r="D345" s="950" t="s">
        <v>1051</v>
      </c>
      <c r="E345" s="950" t="s">
        <v>1052</v>
      </c>
      <c r="F345" s="951" t="s">
        <v>984</v>
      </c>
      <c r="G345" s="951"/>
      <c r="H345" s="951"/>
      <c r="I345" s="948" t="s">
        <v>985</v>
      </c>
      <c r="J345" s="948" t="s">
        <v>1053</v>
      </c>
      <c r="K345" s="948" t="s">
        <v>392</v>
      </c>
      <c r="L345" s="948" t="s">
        <v>377</v>
      </c>
      <c r="M345" s="952"/>
      <c r="N345" s="949" t="s">
        <v>1054</v>
      </c>
      <c r="O345" s="949"/>
      <c r="P345" s="949"/>
      <c r="Q345" s="949"/>
      <c r="R345" s="949"/>
      <c r="S345" s="949"/>
      <c r="T345" s="949" t="s">
        <v>1055</v>
      </c>
      <c r="U345" s="949"/>
      <c r="V345" s="949"/>
      <c r="W345" s="949" t="s">
        <v>989</v>
      </c>
      <c r="X345" s="949"/>
      <c r="Y345" s="949"/>
      <c r="Z345" s="949" t="s">
        <v>1056</v>
      </c>
      <c r="AA345" s="949"/>
      <c r="AB345" s="949"/>
      <c r="AC345" s="949"/>
      <c r="AD345" s="949"/>
      <c r="AE345" s="949"/>
      <c r="AF345" s="953" t="s">
        <v>1057</v>
      </c>
      <c r="AG345" s="953"/>
      <c r="AH345" s="953"/>
      <c r="AI345" s="953"/>
      <c r="AJ345" s="953"/>
      <c r="AK345" s="951" t="s">
        <v>1058</v>
      </c>
      <c r="AL345" s="951"/>
      <c r="AM345" s="951"/>
      <c r="AN345" s="951"/>
      <c r="AO345" s="951"/>
      <c r="AP345" s="951"/>
      <c r="AQ345" s="951" t="s">
        <v>1059</v>
      </c>
      <c r="AR345" s="951"/>
      <c r="AS345" s="951"/>
      <c r="AT345" s="951" t="s">
        <v>1060</v>
      </c>
      <c r="AU345" s="951"/>
      <c r="AV345" s="951"/>
      <c r="AW345" s="951"/>
      <c r="AX345" s="951"/>
      <c r="AY345" s="951"/>
      <c r="AZ345" s="951" t="s">
        <v>1061</v>
      </c>
      <c r="BA345" s="951"/>
      <c r="BB345" s="951"/>
      <c r="BC345" s="954" t="s">
        <v>1062</v>
      </c>
      <c r="BD345" s="954"/>
      <c r="BE345" s="954"/>
      <c r="BF345" s="954"/>
      <c r="BG345" s="954"/>
      <c r="BH345" s="954"/>
      <c r="BI345" s="954" t="s">
        <v>996</v>
      </c>
      <c r="BJ345" s="954"/>
      <c r="BK345" s="954"/>
      <c r="BL345" s="951" t="s">
        <v>997</v>
      </c>
      <c r="BM345" s="951"/>
      <c r="BN345" s="951"/>
      <c r="BO345" s="951"/>
      <c r="BP345" s="951"/>
      <c r="BQ345" s="951"/>
      <c r="BR345" s="951"/>
      <c r="BS345" s="951"/>
      <c r="BT345" s="955" t="s">
        <v>998</v>
      </c>
    </row>
    <row r="346" spans="1:72">
      <c r="A346" s="949"/>
      <c r="B346" s="949"/>
      <c r="C346" s="949"/>
      <c r="D346" s="949" t="s">
        <v>1063</v>
      </c>
      <c r="E346" s="949" t="s">
        <v>391</v>
      </c>
      <c r="F346" s="948" t="s">
        <v>999</v>
      </c>
      <c r="G346" s="948" t="s">
        <v>1000</v>
      </c>
      <c r="H346" s="948" t="s">
        <v>1001</v>
      </c>
      <c r="I346" s="948" t="s">
        <v>1002</v>
      </c>
      <c r="J346" s="948" t="s">
        <v>1003</v>
      </c>
      <c r="K346" s="951" t="s">
        <v>1064</v>
      </c>
      <c r="L346" s="948"/>
      <c r="M346" s="952"/>
      <c r="N346" s="949" t="s">
        <v>1001</v>
      </c>
      <c r="O346" s="949"/>
      <c r="P346" s="949" t="s">
        <v>1000</v>
      </c>
      <c r="Q346" s="949"/>
      <c r="R346" s="949" t="s">
        <v>1001</v>
      </c>
      <c r="S346" s="949"/>
      <c r="T346" s="950" t="s">
        <v>1007</v>
      </c>
      <c r="U346" s="949" t="s">
        <v>1005</v>
      </c>
      <c r="V346" s="949"/>
      <c r="W346" s="949"/>
      <c r="X346" s="949" t="s">
        <v>1000</v>
      </c>
      <c r="Y346" s="949" t="s">
        <v>1001</v>
      </c>
      <c r="Z346" s="949" t="s">
        <v>1001</v>
      </c>
      <c r="AA346" s="949"/>
      <c r="AB346" s="949" t="s">
        <v>1000</v>
      </c>
      <c r="AC346" s="949"/>
      <c r="AD346" s="949" t="s">
        <v>1001</v>
      </c>
      <c r="AE346" s="949"/>
      <c r="AF346" s="953" t="s">
        <v>1004</v>
      </c>
      <c r="AG346" s="953"/>
      <c r="AH346" s="953"/>
      <c r="AI346" s="953" t="s">
        <v>1065</v>
      </c>
      <c r="AJ346" s="953"/>
      <c r="AK346" s="951" t="s">
        <v>1001</v>
      </c>
      <c r="AL346" s="951"/>
      <c r="AM346" s="951" t="s">
        <v>1000</v>
      </c>
      <c r="AN346" s="951"/>
      <c r="AO346" s="951" t="s">
        <v>1001</v>
      </c>
      <c r="AP346" s="951"/>
      <c r="AQ346" s="951" t="s">
        <v>1004</v>
      </c>
      <c r="AR346" s="951" t="s">
        <v>1005</v>
      </c>
      <c r="AS346" s="951"/>
      <c r="AT346" s="951" t="s">
        <v>1066</v>
      </c>
      <c r="AU346" s="951"/>
      <c r="AV346" s="951" t="s">
        <v>1000</v>
      </c>
      <c r="AW346" s="951"/>
      <c r="AX346" s="951" t="s">
        <v>1001</v>
      </c>
      <c r="AY346" s="951"/>
      <c r="AZ346" s="951" t="s">
        <v>1004</v>
      </c>
      <c r="BA346" s="951" t="s">
        <v>1005</v>
      </c>
      <c r="BB346" s="951"/>
      <c r="BC346" s="953" t="s">
        <v>1001</v>
      </c>
      <c r="BD346" s="953"/>
      <c r="BE346" s="953" t="s">
        <v>1000</v>
      </c>
      <c r="BF346" s="953"/>
      <c r="BG346" s="951" t="s">
        <v>1001</v>
      </c>
      <c r="BH346" s="951"/>
      <c r="BI346" s="956" t="s">
        <v>1004</v>
      </c>
      <c r="BJ346" s="954" t="s">
        <v>1005</v>
      </c>
      <c r="BK346" s="954"/>
      <c r="BL346" s="951" t="s">
        <v>1006</v>
      </c>
      <c r="BM346" s="951"/>
      <c r="BN346" s="951"/>
      <c r="BO346" s="951"/>
      <c r="BP346" s="951"/>
      <c r="BQ346" s="951"/>
      <c r="BR346" s="951" t="s">
        <v>1067</v>
      </c>
      <c r="BS346" s="951"/>
      <c r="BT346" s="953" t="s">
        <v>1068</v>
      </c>
    </row>
    <row r="347" spans="1:72">
      <c r="A347" s="949"/>
      <c r="B347" s="949"/>
      <c r="C347" s="949" t="s">
        <v>391</v>
      </c>
      <c r="D347" s="949"/>
      <c r="E347" s="949"/>
      <c r="F347" s="948" t="s">
        <v>1069</v>
      </c>
      <c r="G347" s="948" t="s">
        <v>1069</v>
      </c>
      <c r="H347" s="948" t="s">
        <v>1069</v>
      </c>
      <c r="I347" s="948" t="s">
        <v>1069</v>
      </c>
      <c r="J347" s="948" t="s">
        <v>1069</v>
      </c>
      <c r="K347" s="951"/>
      <c r="L347" s="948" t="s">
        <v>1070</v>
      </c>
      <c r="M347" s="952"/>
      <c r="N347" s="949"/>
      <c r="O347" s="949"/>
      <c r="P347" s="949"/>
      <c r="Q347" s="949"/>
      <c r="R347" s="949"/>
      <c r="S347" s="949"/>
      <c r="T347" s="950" t="s">
        <v>1071</v>
      </c>
      <c r="U347" s="950" t="s">
        <v>1012</v>
      </c>
      <c r="V347" s="950" t="s">
        <v>494</v>
      </c>
      <c r="W347" s="949"/>
      <c r="X347" s="949"/>
      <c r="Y347" s="949"/>
      <c r="Z347" s="949"/>
      <c r="AA347" s="949"/>
      <c r="AB347" s="949"/>
      <c r="AC347" s="949"/>
      <c r="AD347" s="949"/>
      <c r="AE347" s="949"/>
      <c r="AF347" s="955" t="s">
        <v>1001</v>
      </c>
      <c r="AG347" s="955" t="s">
        <v>1000</v>
      </c>
      <c r="AH347" s="955" t="s">
        <v>1001</v>
      </c>
      <c r="AI347" s="955" t="s">
        <v>1012</v>
      </c>
      <c r="AJ347" s="955" t="s">
        <v>494</v>
      </c>
      <c r="AK347" s="951"/>
      <c r="AL347" s="951"/>
      <c r="AM347" s="951"/>
      <c r="AN347" s="951"/>
      <c r="AO347" s="951"/>
      <c r="AP347" s="951"/>
      <c r="AQ347" s="951"/>
      <c r="AR347" s="948" t="s">
        <v>1012</v>
      </c>
      <c r="AS347" s="948" t="s">
        <v>494</v>
      </c>
      <c r="AT347" s="951"/>
      <c r="AU347" s="951"/>
      <c r="AV347" s="951"/>
      <c r="AW347" s="951"/>
      <c r="AX347" s="951"/>
      <c r="AY347" s="951"/>
      <c r="AZ347" s="951"/>
      <c r="BA347" s="948" t="s">
        <v>1012</v>
      </c>
      <c r="BB347" s="948" t="s">
        <v>494</v>
      </c>
      <c r="BC347" s="953"/>
      <c r="BD347" s="953"/>
      <c r="BE347" s="953"/>
      <c r="BF347" s="953"/>
      <c r="BG347" s="951"/>
      <c r="BH347" s="951"/>
      <c r="BI347" s="957"/>
      <c r="BJ347" s="957" t="s">
        <v>1012</v>
      </c>
      <c r="BK347" s="957" t="s">
        <v>494</v>
      </c>
      <c r="BL347" s="951" t="s">
        <v>1001</v>
      </c>
      <c r="BM347" s="951"/>
      <c r="BN347" s="951" t="s">
        <v>1000</v>
      </c>
      <c r="BO347" s="951"/>
      <c r="BP347" s="951" t="s">
        <v>1001</v>
      </c>
      <c r="BQ347" s="951"/>
      <c r="BR347" s="951" t="s">
        <v>1004</v>
      </c>
      <c r="BS347" s="948"/>
      <c r="BT347" s="953"/>
    </row>
    <row r="348" spans="1:72">
      <c r="A348" s="949"/>
      <c r="B348" s="949"/>
      <c r="C348" s="949"/>
      <c r="D348" s="950" t="s">
        <v>1072</v>
      </c>
      <c r="E348" s="950" t="s">
        <v>1073</v>
      </c>
      <c r="F348" s="948" t="s">
        <v>1074</v>
      </c>
      <c r="G348" s="948" t="s">
        <v>1075</v>
      </c>
      <c r="H348" s="948" t="s">
        <v>1076</v>
      </c>
      <c r="I348" s="948" t="s">
        <v>1077</v>
      </c>
      <c r="J348" s="948" t="s">
        <v>1078</v>
      </c>
      <c r="K348" s="948" t="s">
        <v>1079</v>
      </c>
      <c r="L348" s="948" t="s">
        <v>1080</v>
      </c>
      <c r="M348" s="952"/>
      <c r="N348" s="949" t="s">
        <v>1081</v>
      </c>
      <c r="O348" s="949"/>
      <c r="P348" s="949"/>
      <c r="Q348" s="949"/>
      <c r="R348" s="949"/>
      <c r="S348" s="949"/>
      <c r="T348" s="950" t="s">
        <v>1082</v>
      </c>
      <c r="U348" s="949" t="s">
        <v>1081</v>
      </c>
      <c r="V348" s="949"/>
      <c r="W348" s="949" t="s">
        <v>1081</v>
      </c>
      <c r="X348" s="949"/>
      <c r="Y348" s="949"/>
      <c r="Z348" s="949" t="s">
        <v>1082</v>
      </c>
      <c r="AA348" s="949"/>
      <c r="AB348" s="949"/>
      <c r="AC348" s="949"/>
      <c r="AD348" s="949"/>
      <c r="AE348" s="949"/>
      <c r="AF348" s="953" t="s">
        <v>1082</v>
      </c>
      <c r="AG348" s="953"/>
      <c r="AH348" s="953"/>
      <c r="AI348" s="953"/>
      <c r="AJ348" s="953"/>
      <c r="AK348" s="951" t="s">
        <v>1069</v>
      </c>
      <c r="AL348" s="951"/>
      <c r="AM348" s="951"/>
      <c r="AN348" s="951"/>
      <c r="AO348" s="951"/>
      <c r="AP348" s="951"/>
      <c r="AQ348" s="951"/>
      <c r="AR348" s="951"/>
      <c r="AS348" s="951"/>
      <c r="AT348" s="951"/>
      <c r="AU348" s="951"/>
      <c r="AV348" s="951"/>
      <c r="AW348" s="951"/>
      <c r="AX348" s="951"/>
      <c r="AY348" s="951"/>
      <c r="AZ348" s="951"/>
      <c r="BA348" s="951"/>
      <c r="BB348" s="951"/>
      <c r="BC348" s="954"/>
      <c r="BD348" s="954"/>
      <c r="BE348" s="954"/>
      <c r="BF348" s="954"/>
      <c r="BG348" s="954"/>
      <c r="BH348" s="954"/>
      <c r="BI348" s="954"/>
      <c r="BJ348" s="954"/>
      <c r="BK348" s="954"/>
      <c r="BL348" s="951"/>
      <c r="BM348" s="951"/>
      <c r="BN348" s="951"/>
      <c r="BO348" s="951"/>
      <c r="BP348" s="951"/>
      <c r="BQ348" s="951"/>
      <c r="BR348" s="951"/>
      <c r="BS348" s="948" t="s">
        <v>494</v>
      </c>
      <c r="BT348" s="953"/>
    </row>
    <row r="349" spans="1:72">
      <c r="A349" s="952"/>
      <c r="B349" s="952"/>
      <c r="C349" s="950"/>
      <c r="D349" s="950"/>
      <c r="E349" s="950"/>
      <c r="F349" s="948"/>
      <c r="G349" s="948"/>
      <c r="H349" s="948"/>
      <c r="I349" s="948"/>
      <c r="J349" s="948"/>
      <c r="K349" s="948"/>
      <c r="L349" s="948"/>
      <c r="M349" s="952"/>
      <c r="N349" s="950"/>
      <c r="O349" s="950"/>
      <c r="P349" s="950"/>
      <c r="Q349" s="950"/>
      <c r="R349" s="950"/>
      <c r="S349" s="950"/>
      <c r="T349" s="950"/>
      <c r="U349" s="950"/>
      <c r="V349" s="950"/>
      <c r="W349" s="950"/>
      <c r="X349" s="950"/>
      <c r="Y349" s="950"/>
      <c r="Z349" s="950"/>
      <c r="AA349" s="950"/>
      <c r="AB349" s="950"/>
      <c r="AC349" s="950"/>
      <c r="AD349" s="950"/>
      <c r="AE349" s="950"/>
      <c r="AF349" s="955"/>
      <c r="AG349" s="955"/>
      <c r="AH349" s="955"/>
      <c r="AI349" s="955"/>
      <c r="AJ349" s="955"/>
      <c r="AK349" s="948"/>
      <c r="AL349" s="948"/>
      <c r="AM349" s="948"/>
      <c r="AN349" s="948"/>
      <c r="AO349" s="948"/>
      <c r="AP349" s="948"/>
      <c r="AQ349" s="948"/>
      <c r="AR349" s="948"/>
      <c r="AS349" s="948"/>
      <c r="AT349" s="948"/>
      <c r="AU349" s="948"/>
      <c r="AV349" s="948"/>
      <c r="AW349" s="948"/>
      <c r="AX349" s="948"/>
      <c r="AY349" s="948"/>
      <c r="AZ349" s="948"/>
      <c r="BA349" s="948"/>
      <c r="BB349" s="948"/>
      <c r="BC349" s="957"/>
      <c r="BD349" s="957"/>
      <c r="BE349" s="957"/>
      <c r="BF349" s="957"/>
      <c r="BG349" s="957"/>
      <c r="BH349" s="957"/>
      <c r="BI349" s="957"/>
      <c r="BJ349" s="957"/>
      <c r="BK349" s="957"/>
      <c r="BL349" s="948"/>
      <c r="BM349" s="948"/>
      <c r="BN349" s="948"/>
      <c r="BO349" s="948"/>
      <c r="BP349" s="948"/>
      <c r="BQ349" s="948"/>
      <c r="BR349" s="948"/>
      <c r="BS349" s="948"/>
      <c r="BT349" s="955"/>
    </row>
    <row r="350" spans="1:72">
      <c r="A350" s="958" t="s">
        <v>1200</v>
      </c>
      <c r="B350" s="952"/>
      <c r="C350" s="950"/>
      <c r="D350" s="950"/>
      <c r="E350" s="950"/>
      <c r="F350" s="948"/>
      <c r="G350" s="948"/>
      <c r="H350" s="948"/>
      <c r="I350" s="948"/>
      <c r="J350" s="948"/>
      <c r="K350" s="948"/>
      <c r="L350" s="948"/>
      <c r="M350" s="952"/>
      <c r="N350" s="958" t="str">
        <f>A350</f>
        <v>Balok Lantai 11</v>
      </c>
      <c r="O350" s="950"/>
      <c r="P350" s="950"/>
      <c r="Q350" s="950"/>
      <c r="R350" s="950"/>
      <c r="S350" s="950"/>
      <c r="T350" s="950"/>
      <c r="U350" s="950"/>
      <c r="V350" s="950"/>
      <c r="W350" s="950"/>
      <c r="X350" s="950"/>
      <c r="Y350" s="950"/>
      <c r="Z350" s="950"/>
      <c r="AA350" s="950"/>
      <c r="AB350" s="950"/>
      <c r="AC350" s="950"/>
      <c r="AD350" s="950"/>
      <c r="AE350" s="950"/>
      <c r="AF350" s="955"/>
      <c r="AG350" s="955"/>
      <c r="AH350" s="955"/>
      <c r="AI350" s="955"/>
      <c r="AJ350" s="955"/>
      <c r="AK350" s="948"/>
      <c r="AL350" s="948"/>
      <c r="AM350" s="948"/>
      <c r="AN350" s="948"/>
      <c r="AO350" s="948"/>
      <c r="AP350" s="948"/>
      <c r="AQ350" s="948"/>
      <c r="AR350" s="948"/>
      <c r="AS350" s="948"/>
      <c r="AT350" s="948"/>
      <c r="AU350" s="948"/>
      <c r="AV350" s="948"/>
      <c r="AW350" s="948"/>
      <c r="AX350" s="948"/>
      <c r="AY350" s="948"/>
      <c r="AZ350" s="948"/>
      <c r="BA350" s="948"/>
      <c r="BB350" s="948"/>
      <c r="BC350" s="957"/>
      <c r="BD350" s="957"/>
      <c r="BE350" s="957"/>
      <c r="BF350" s="957"/>
      <c r="BG350" s="957"/>
      <c r="BH350" s="957"/>
      <c r="BI350" s="957"/>
      <c r="BJ350" s="957"/>
      <c r="BK350" s="957"/>
      <c r="BL350" s="948"/>
      <c r="BM350" s="948"/>
      <c r="BN350" s="948"/>
      <c r="BO350" s="948"/>
      <c r="BP350" s="948"/>
      <c r="BQ350" s="948"/>
      <c r="BR350" s="948"/>
      <c r="BS350" s="948"/>
      <c r="BT350" s="955"/>
    </row>
    <row r="351" spans="1:72">
      <c r="A351" s="960" t="s">
        <v>2</v>
      </c>
      <c r="B351" s="960" t="s">
        <v>1084</v>
      </c>
      <c r="C351" s="950"/>
      <c r="D351" s="950"/>
      <c r="E351" s="950"/>
      <c r="F351" s="948"/>
      <c r="G351" s="948"/>
      <c r="H351" s="948"/>
      <c r="I351" s="948"/>
      <c r="J351" s="948"/>
      <c r="K351" s="948"/>
      <c r="L351" s="948"/>
      <c r="M351" s="952"/>
      <c r="N351" s="959" t="str">
        <f>A351</f>
        <v>A</v>
      </c>
      <c r="O351" s="959" t="str">
        <f>B351</f>
        <v>Vertikal</v>
      </c>
      <c r="P351" s="950"/>
      <c r="Q351" s="950"/>
      <c r="R351" s="950"/>
      <c r="S351" s="950"/>
      <c r="T351" s="950"/>
      <c r="U351" s="950"/>
      <c r="V351" s="950"/>
      <c r="W351" s="950"/>
      <c r="X351" s="950"/>
      <c r="Y351" s="950"/>
      <c r="Z351" s="950"/>
      <c r="AA351" s="950"/>
      <c r="AB351" s="950"/>
      <c r="AC351" s="950"/>
      <c r="AD351" s="950"/>
      <c r="AE351" s="950"/>
      <c r="AF351" s="955"/>
      <c r="AG351" s="955"/>
      <c r="AH351" s="955"/>
      <c r="AI351" s="955"/>
      <c r="AJ351" s="955"/>
      <c r="AK351" s="948"/>
      <c r="AL351" s="948"/>
      <c r="AM351" s="948"/>
      <c r="AN351" s="948"/>
      <c r="AO351" s="948"/>
      <c r="AP351" s="948"/>
      <c r="AQ351" s="948"/>
      <c r="AR351" s="948"/>
      <c r="AS351" s="948"/>
      <c r="AT351" s="948"/>
      <c r="AU351" s="948"/>
      <c r="AV351" s="948"/>
      <c r="AW351" s="948"/>
      <c r="AX351" s="948"/>
      <c r="AY351" s="948"/>
      <c r="AZ351" s="948"/>
      <c r="BA351" s="948"/>
      <c r="BB351" s="948"/>
      <c r="BC351" s="957"/>
      <c r="BD351" s="957"/>
      <c r="BE351" s="957"/>
      <c r="BF351" s="957"/>
      <c r="BG351" s="957"/>
      <c r="BH351" s="957"/>
      <c r="BI351" s="957"/>
      <c r="BJ351" s="957"/>
      <c r="BK351" s="957"/>
      <c r="BL351" s="948"/>
      <c r="BM351" s="948"/>
      <c r="BN351" s="948"/>
      <c r="BO351" s="948"/>
      <c r="BP351" s="948"/>
      <c r="BQ351" s="948"/>
      <c r="BR351" s="948"/>
      <c r="BS351" s="948"/>
      <c r="BT351" s="955"/>
    </row>
    <row r="352" spans="1:72">
      <c r="A352" s="952">
        <v>1</v>
      </c>
      <c r="B352" s="952" t="s">
        <v>1161</v>
      </c>
      <c r="C352" s="950" t="s">
        <v>1185</v>
      </c>
      <c r="D352" s="950">
        <v>1</v>
      </c>
      <c r="E352" s="950">
        <v>1</v>
      </c>
      <c r="F352" s="948">
        <v>64</v>
      </c>
      <c r="G352" s="948">
        <v>0.3</v>
      </c>
      <c r="H352" s="948">
        <v>0.65</v>
      </c>
      <c r="I352" s="948">
        <v>0.12</v>
      </c>
      <c r="J352" s="948">
        <f t="shared" ref="J352" si="820">H352-I352</f>
        <v>0.53</v>
      </c>
      <c r="K352" s="948">
        <f>F352*G352*J352*D352*E352</f>
        <v>10.176</v>
      </c>
      <c r="L352" s="948">
        <f>(2*J352)*F352*E352*D352</f>
        <v>67.84</v>
      </c>
      <c r="M352" s="952"/>
      <c r="N352" s="950">
        <v>19</v>
      </c>
      <c r="O352" s="950">
        <v>19</v>
      </c>
      <c r="P352" s="950">
        <v>19</v>
      </c>
      <c r="Q352" s="950">
        <v>19</v>
      </c>
      <c r="R352" s="950">
        <v>19</v>
      </c>
      <c r="S352" s="950">
        <v>19</v>
      </c>
      <c r="T352" s="950">
        <v>8</v>
      </c>
      <c r="U352" s="950"/>
      <c r="V352" s="950"/>
      <c r="W352" s="950">
        <v>200</v>
      </c>
      <c r="X352" s="950">
        <v>100</v>
      </c>
      <c r="Y352" s="950">
        <v>100</v>
      </c>
      <c r="Z352" s="950">
        <v>4</v>
      </c>
      <c r="AA352" s="950">
        <v>4</v>
      </c>
      <c r="AB352" s="950">
        <v>2</v>
      </c>
      <c r="AC352" s="950">
        <v>2</v>
      </c>
      <c r="AD352" s="950">
        <v>4</v>
      </c>
      <c r="AE352" s="950">
        <v>4</v>
      </c>
      <c r="AF352" s="955">
        <f t="shared" ref="AF352:AF356" si="821">(F352/4)/(W352/1000)+1</f>
        <v>81</v>
      </c>
      <c r="AG352" s="955">
        <f t="shared" ref="AG352:AG356" si="822">(F352/2)/(X352/1000)+1</f>
        <v>321</v>
      </c>
      <c r="AH352" s="955">
        <f t="shared" ref="AH352:AH356" si="823">(F352/4)/(Y352/1000)+1</f>
        <v>161</v>
      </c>
      <c r="AI352" s="955">
        <v>0</v>
      </c>
      <c r="AJ352" s="955">
        <v>0</v>
      </c>
      <c r="AK352" s="948">
        <f t="shared" ref="AK352:AK356" si="824">(F352/4)+(20*N352/1000)+(10*N352/1000)+(8*N352/1000)+(6*2*N352/1000)</f>
        <v>16.950000000000003</v>
      </c>
      <c r="AL352" s="948">
        <f t="shared" ref="AL352:AL356" si="825">(F352/4)+(20*O352/1000)+(10*O352/1000)+(8*O352/1000)+(6*2*O352/1000)</f>
        <v>16.950000000000003</v>
      </c>
      <c r="AM352" s="948">
        <f t="shared" ref="AM352:AM356" si="826">(F352/2)+(20*P352/1000)+(6*2*P352/1000)</f>
        <v>32.608000000000004</v>
      </c>
      <c r="AN352" s="948">
        <f t="shared" ref="AN352:AN356" si="827">(F352/2)+(20*Q352/1000)+(6*2*Q352/1000)</f>
        <v>32.608000000000004</v>
      </c>
      <c r="AO352" s="948">
        <f t="shared" ref="AO352:AO356" si="828">(F352/4)+(20*R352/1000)+(10*R352/1000)+(8*R352/1000)+(6*2*R352/1000)</f>
        <v>16.950000000000003</v>
      </c>
      <c r="AP352" s="948">
        <f t="shared" ref="AP352:AP356" si="829">(F352/4)+(20*S352/1000)+(10*S352/1000)+(8*S352/1000)+(6*2*S352/1000)</f>
        <v>16.950000000000003</v>
      </c>
      <c r="AQ352" s="948">
        <f t="shared" ref="AQ352:AQ356" si="830">(2*G352)+(2*H352)+(6*T352/1000)-(8*0.03)</f>
        <v>1.708</v>
      </c>
      <c r="AR352" s="948">
        <f t="shared" ref="AR352:AR356" si="831">((H352)+(2*6*U352/1000)-(2*0.03))*AI352</f>
        <v>0</v>
      </c>
      <c r="AS352" s="948">
        <f t="shared" ref="AS352:AS356" si="832">((G352)+(2*6*V352/1000)-(2*0.03))*AJ352</f>
        <v>0</v>
      </c>
      <c r="AT352" s="948">
        <f t="shared" ref="AT352:AT356" si="833">AK352*Z352*E352*D352</f>
        <v>67.800000000000011</v>
      </c>
      <c r="AU352" s="948">
        <f t="shared" ref="AU352:AU356" si="834">AL352*AA352*E352*D352</f>
        <v>67.800000000000011</v>
      </c>
      <c r="AV352" s="948">
        <f t="shared" ref="AV352:AV356" si="835">AM352*AB352*E352*D352</f>
        <v>65.216000000000008</v>
      </c>
      <c r="AW352" s="948">
        <f t="shared" ref="AW352:AW356" si="836">AN352*AC352*E352*D352</f>
        <v>65.216000000000008</v>
      </c>
      <c r="AX352" s="948">
        <f t="shared" ref="AX352:AX356" si="837">AO352*AD352*E352*D352</f>
        <v>67.800000000000011</v>
      </c>
      <c r="AY352" s="948">
        <f t="shared" ref="AY352:AY356" si="838">AP352*AE352*E352*D352</f>
        <v>67.800000000000011</v>
      </c>
      <c r="AZ352" s="948">
        <f t="shared" ref="AZ352:AZ356" si="839">AQ352*(AF352+AG352+AH352)*E352*D352</f>
        <v>961.60399999999993</v>
      </c>
      <c r="BA352" s="948">
        <f t="shared" ref="BA352:BA356" si="840">AR352*(AF352+AG352+AH352)*E352*D352</f>
        <v>0</v>
      </c>
      <c r="BB352" s="948">
        <f t="shared" ref="BB352:BB356" si="841">AS352*(AF352+AG352+AH352)*E352*D352</f>
        <v>0</v>
      </c>
      <c r="BC352" s="957">
        <f t="shared" ref="BC352:BK356" si="842">N352*N352*0.074/12</f>
        <v>2.2261666666666664</v>
      </c>
      <c r="BD352" s="957">
        <f t="shared" si="842"/>
        <v>2.2261666666666664</v>
      </c>
      <c r="BE352" s="957">
        <f t="shared" si="842"/>
        <v>2.2261666666666664</v>
      </c>
      <c r="BF352" s="957">
        <f t="shared" si="842"/>
        <v>2.2261666666666664</v>
      </c>
      <c r="BG352" s="957">
        <f t="shared" si="842"/>
        <v>2.2261666666666664</v>
      </c>
      <c r="BH352" s="957">
        <f t="shared" si="842"/>
        <v>2.2261666666666664</v>
      </c>
      <c r="BI352" s="957">
        <f t="shared" si="842"/>
        <v>0.39466666666666667</v>
      </c>
      <c r="BJ352" s="957">
        <f t="shared" si="842"/>
        <v>0</v>
      </c>
      <c r="BK352" s="957">
        <f t="shared" si="842"/>
        <v>0</v>
      </c>
      <c r="BL352" s="948">
        <f t="shared" ref="BL352:BR356" si="843">AT352*BC352</f>
        <v>150.9341</v>
      </c>
      <c r="BM352" s="948">
        <f t="shared" si="843"/>
        <v>150.9341</v>
      </c>
      <c r="BN352" s="948">
        <f t="shared" si="843"/>
        <v>145.18168533333335</v>
      </c>
      <c r="BO352" s="948">
        <f t="shared" si="843"/>
        <v>145.18168533333335</v>
      </c>
      <c r="BP352" s="948">
        <f t="shared" si="843"/>
        <v>150.9341</v>
      </c>
      <c r="BQ352" s="948">
        <f t="shared" si="843"/>
        <v>150.9341</v>
      </c>
      <c r="BR352" s="948">
        <f t="shared" si="843"/>
        <v>379.51304533333331</v>
      </c>
      <c r="BS352" s="948">
        <f>BB352*BK352</f>
        <v>0</v>
      </c>
      <c r="BT352" s="955">
        <f>SUM(BL352:BS352)/K352</f>
        <v>125.15849213836478</v>
      </c>
    </row>
    <row r="353" spans="1:72">
      <c r="A353" s="952">
        <v>2</v>
      </c>
      <c r="B353" s="952" t="s">
        <v>1162</v>
      </c>
      <c r="C353" s="950" t="s">
        <v>1163</v>
      </c>
      <c r="D353" s="950">
        <v>1</v>
      </c>
      <c r="E353" s="950">
        <v>1</v>
      </c>
      <c r="F353" s="948">
        <v>64</v>
      </c>
      <c r="G353" s="948">
        <v>0.25</v>
      </c>
      <c r="H353" s="948">
        <v>0.6</v>
      </c>
      <c r="I353" s="948">
        <v>0.12</v>
      </c>
      <c r="J353" s="948">
        <f>H353-I353</f>
        <v>0.48</v>
      </c>
      <c r="K353" s="948">
        <f>F353*G353*J353*D353*E353</f>
        <v>7.68</v>
      </c>
      <c r="L353" s="948">
        <f>(2*J353)*F353*E353*D353</f>
        <v>61.44</v>
      </c>
      <c r="M353" s="952"/>
      <c r="N353" s="950">
        <v>16</v>
      </c>
      <c r="O353" s="950">
        <v>16</v>
      </c>
      <c r="P353" s="950">
        <v>16</v>
      </c>
      <c r="Q353" s="950">
        <v>16</v>
      </c>
      <c r="R353" s="950">
        <v>16</v>
      </c>
      <c r="S353" s="950">
        <v>16</v>
      </c>
      <c r="T353" s="950">
        <v>8</v>
      </c>
      <c r="U353" s="950"/>
      <c r="V353" s="950"/>
      <c r="W353" s="950">
        <v>200</v>
      </c>
      <c r="X353" s="950">
        <v>100</v>
      </c>
      <c r="Y353" s="950">
        <v>100</v>
      </c>
      <c r="Z353" s="950">
        <v>4</v>
      </c>
      <c r="AA353" s="950">
        <v>4</v>
      </c>
      <c r="AB353" s="950">
        <v>2</v>
      </c>
      <c r="AC353" s="950">
        <v>2</v>
      </c>
      <c r="AD353" s="950">
        <v>4</v>
      </c>
      <c r="AE353" s="950">
        <v>4</v>
      </c>
      <c r="AF353" s="955">
        <f t="shared" si="821"/>
        <v>81</v>
      </c>
      <c r="AG353" s="955">
        <f t="shared" si="822"/>
        <v>321</v>
      </c>
      <c r="AH353" s="955">
        <f t="shared" si="823"/>
        <v>161</v>
      </c>
      <c r="AI353" s="955">
        <v>0</v>
      </c>
      <c r="AJ353" s="955">
        <v>0</v>
      </c>
      <c r="AK353" s="948">
        <f t="shared" si="824"/>
        <v>16.8</v>
      </c>
      <c r="AL353" s="948">
        <f t="shared" si="825"/>
        <v>16.8</v>
      </c>
      <c r="AM353" s="948">
        <f t="shared" si="826"/>
        <v>32.512</v>
      </c>
      <c r="AN353" s="948">
        <f t="shared" si="827"/>
        <v>32.512</v>
      </c>
      <c r="AO353" s="948">
        <f t="shared" si="828"/>
        <v>16.8</v>
      </c>
      <c r="AP353" s="948">
        <f t="shared" si="829"/>
        <v>16.8</v>
      </c>
      <c r="AQ353" s="948">
        <f t="shared" si="830"/>
        <v>1.508</v>
      </c>
      <c r="AR353" s="948">
        <f t="shared" si="831"/>
        <v>0</v>
      </c>
      <c r="AS353" s="948">
        <f t="shared" si="832"/>
        <v>0</v>
      </c>
      <c r="AT353" s="948">
        <f t="shared" si="833"/>
        <v>67.2</v>
      </c>
      <c r="AU353" s="948">
        <f t="shared" si="834"/>
        <v>67.2</v>
      </c>
      <c r="AV353" s="948">
        <f t="shared" si="835"/>
        <v>65.024000000000001</v>
      </c>
      <c r="AW353" s="948">
        <f t="shared" si="836"/>
        <v>65.024000000000001</v>
      </c>
      <c r="AX353" s="948">
        <f t="shared" si="837"/>
        <v>67.2</v>
      </c>
      <c r="AY353" s="948">
        <f t="shared" si="838"/>
        <v>67.2</v>
      </c>
      <c r="AZ353" s="948">
        <f t="shared" si="839"/>
        <v>849.00400000000002</v>
      </c>
      <c r="BA353" s="948">
        <f t="shared" si="840"/>
        <v>0</v>
      </c>
      <c r="BB353" s="948">
        <f t="shared" si="841"/>
        <v>0</v>
      </c>
      <c r="BC353" s="957">
        <f t="shared" si="842"/>
        <v>1.5786666666666667</v>
      </c>
      <c r="BD353" s="957">
        <f t="shared" si="842"/>
        <v>1.5786666666666667</v>
      </c>
      <c r="BE353" s="957">
        <f t="shared" si="842"/>
        <v>1.5786666666666667</v>
      </c>
      <c r="BF353" s="957">
        <f t="shared" si="842"/>
        <v>1.5786666666666667</v>
      </c>
      <c r="BG353" s="957">
        <f t="shared" si="842"/>
        <v>1.5786666666666667</v>
      </c>
      <c r="BH353" s="957">
        <f t="shared" si="842"/>
        <v>1.5786666666666667</v>
      </c>
      <c r="BI353" s="957">
        <f t="shared" si="842"/>
        <v>0.39466666666666667</v>
      </c>
      <c r="BJ353" s="957">
        <f t="shared" si="842"/>
        <v>0</v>
      </c>
      <c r="BK353" s="957">
        <f t="shared" si="842"/>
        <v>0</v>
      </c>
      <c r="BL353" s="948">
        <f t="shared" si="843"/>
        <v>106.0864</v>
      </c>
      <c r="BM353" s="948">
        <f t="shared" si="843"/>
        <v>106.0864</v>
      </c>
      <c r="BN353" s="948">
        <f t="shared" si="843"/>
        <v>102.65122133333334</v>
      </c>
      <c r="BO353" s="948">
        <f t="shared" si="843"/>
        <v>102.65122133333334</v>
      </c>
      <c r="BP353" s="948">
        <f t="shared" si="843"/>
        <v>106.0864</v>
      </c>
      <c r="BQ353" s="948">
        <f t="shared" si="843"/>
        <v>106.0864</v>
      </c>
      <c r="BR353" s="948">
        <f t="shared" si="843"/>
        <v>335.07357866666666</v>
      </c>
      <c r="BS353" s="948">
        <f>BB353*BK353</f>
        <v>0</v>
      </c>
      <c r="BT353" s="955">
        <f>SUM(BL353:BS353)/K353</f>
        <v>125.61479444444446</v>
      </c>
    </row>
    <row r="354" spans="1:72">
      <c r="A354" s="952">
        <v>3</v>
      </c>
      <c r="B354" s="952" t="s">
        <v>1092</v>
      </c>
      <c r="C354" s="950" t="s">
        <v>1093</v>
      </c>
      <c r="D354" s="950">
        <v>1</v>
      </c>
      <c r="E354" s="950">
        <v>1</v>
      </c>
      <c r="F354" s="948">
        <v>80</v>
      </c>
      <c r="G354" s="948">
        <v>0.25</v>
      </c>
      <c r="H354" s="948">
        <v>0.6</v>
      </c>
      <c r="I354" s="948">
        <v>0.12</v>
      </c>
      <c r="J354" s="948">
        <f>H354-I354</f>
        <v>0.48</v>
      </c>
      <c r="K354" s="948">
        <f>F354*G354*J354*D354*E354</f>
        <v>9.6</v>
      </c>
      <c r="L354" s="948">
        <f>(2*J354)*F354*E354*D354</f>
        <v>76.8</v>
      </c>
      <c r="M354" s="952"/>
      <c r="N354" s="950">
        <v>16</v>
      </c>
      <c r="O354" s="950">
        <v>16</v>
      </c>
      <c r="P354" s="950">
        <v>16</v>
      </c>
      <c r="Q354" s="950">
        <v>16</v>
      </c>
      <c r="R354" s="950">
        <v>16</v>
      </c>
      <c r="S354" s="950">
        <v>16</v>
      </c>
      <c r="T354" s="950">
        <v>8</v>
      </c>
      <c r="U354" s="950"/>
      <c r="V354" s="950"/>
      <c r="W354" s="950">
        <v>200</v>
      </c>
      <c r="X354" s="950">
        <v>100</v>
      </c>
      <c r="Y354" s="950">
        <v>100</v>
      </c>
      <c r="Z354" s="950">
        <v>9</v>
      </c>
      <c r="AA354" s="950">
        <v>6</v>
      </c>
      <c r="AB354" s="950">
        <v>4</v>
      </c>
      <c r="AC354" s="950">
        <v>4</v>
      </c>
      <c r="AD354" s="950">
        <v>9</v>
      </c>
      <c r="AE354" s="950">
        <v>6</v>
      </c>
      <c r="AF354" s="955">
        <f t="shared" si="821"/>
        <v>101</v>
      </c>
      <c r="AG354" s="955">
        <f t="shared" si="822"/>
        <v>401</v>
      </c>
      <c r="AH354" s="955">
        <f t="shared" si="823"/>
        <v>201</v>
      </c>
      <c r="AI354" s="955">
        <v>0</v>
      </c>
      <c r="AJ354" s="955">
        <v>0</v>
      </c>
      <c r="AK354" s="948">
        <f t="shared" si="824"/>
        <v>20.8</v>
      </c>
      <c r="AL354" s="948">
        <f t="shared" si="825"/>
        <v>20.8</v>
      </c>
      <c r="AM354" s="948">
        <f t="shared" si="826"/>
        <v>40.512</v>
      </c>
      <c r="AN354" s="948">
        <f t="shared" si="827"/>
        <v>40.512</v>
      </c>
      <c r="AO354" s="948">
        <f t="shared" si="828"/>
        <v>20.8</v>
      </c>
      <c r="AP354" s="948">
        <f t="shared" si="829"/>
        <v>20.8</v>
      </c>
      <c r="AQ354" s="948">
        <f t="shared" si="830"/>
        <v>1.508</v>
      </c>
      <c r="AR354" s="948">
        <f t="shared" si="831"/>
        <v>0</v>
      </c>
      <c r="AS354" s="948">
        <f t="shared" si="832"/>
        <v>0</v>
      </c>
      <c r="AT354" s="948">
        <f t="shared" si="833"/>
        <v>187.20000000000002</v>
      </c>
      <c r="AU354" s="948">
        <f t="shared" si="834"/>
        <v>124.80000000000001</v>
      </c>
      <c r="AV354" s="948">
        <f t="shared" si="835"/>
        <v>162.048</v>
      </c>
      <c r="AW354" s="948">
        <f t="shared" si="836"/>
        <v>162.048</v>
      </c>
      <c r="AX354" s="948">
        <f t="shared" si="837"/>
        <v>187.20000000000002</v>
      </c>
      <c r="AY354" s="948">
        <f t="shared" si="838"/>
        <v>124.80000000000001</v>
      </c>
      <c r="AZ354" s="948">
        <f t="shared" si="839"/>
        <v>1060.124</v>
      </c>
      <c r="BA354" s="948">
        <f t="shared" si="840"/>
        <v>0</v>
      </c>
      <c r="BB354" s="948">
        <f t="shared" si="841"/>
        <v>0</v>
      </c>
      <c r="BC354" s="957">
        <f t="shared" si="842"/>
        <v>1.5786666666666667</v>
      </c>
      <c r="BD354" s="957">
        <f t="shared" si="842"/>
        <v>1.5786666666666667</v>
      </c>
      <c r="BE354" s="957">
        <f t="shared" si="842"/>
        <v>1.5786666666666667</v>
      </c>
      <c r="BF354" s="957">
        <f t="shared" si="842"/>
        <v>1.5786666666666667</v>
      </c>
      <c r="BG354" s="957">
        <f t="shared" si="842"/>
        <v>1.5786666666666667</v>
      </c>
      <c r="BH354" s="957">
        <f t="shared" si="842"/>
        <v>1.5786666666666667</v>
      </c>
      <c r="BI354" s="957">
        <f t="shared" si="842"/>
        <v>0.39466666666666667</v>
      </c>
      <c r="BJ354" s="957">
        <f t="shared" si="842"/>
        <v>0</v>
      </c>
      <c r="BK354" s="957">
        <f t="shared" si="842"/>
        <v>0</v>
      </c>
      <c r="BL354" s="948">
        <f t="shared" si="843"/>
        <v>295.52640000000002</v>
      </c>
      <c r="BM354" s="948">
        <f t="shared" si="843"/>
        <v>197.01760000000002</v>
      </c>
      <c r="BN354" s="948">
        <f t="shared" si="843"/>
        <v>255.81977599999999</v>
      </c>
      <c r="BO354" s="948">
        <f t="shared" si="843"/>
        <v>255.81977599999999</v>
      </c>
      <c r="BP354" s="948">
        <f t="shared" si="843"/>
        <v>295.52640000000002</v>
      </c>
      <c r="BQ354" s="948">
        <f t="shared" si="843"/>
        <v>197.01760000000002</v>
      </c>
      <c r="BR354" s="948">
        <f t="shared" si="843"/>
        <v>418.39560533333332</v>
      </c>
      <c r="BS354" s="948">
        <f>BB354*BK354</f>
        <v>0</v>
      </c>
      <c r="BT354" s="955">
        <f>SUM(BL354:BS354)/K354</f>
        <v>199.49199555555555</v>
      </c>
    </row>
    <row r="355" spans="1:72">
      <c r="A355" s="952">
        <v>4</v>
      </c>
      <c r="B355" s="952" t="s">
        <v>1164</v>
      </c>
      <c r="C355" s="950" t="s">
        <v>1165</v>
      </c>
      <c r="D355" s="950">
        <v>1</v>
      </c>
      <c r="E355" s="950">
        <v>1</v>
      </c>
      <c r="F355" s="948">
        <v>80</v>
      </c>
      <c r="G355" s="948">
        <v>0.3</v>
      </c>
      <c r="H355" s="948">
        <v>0.65</v>
      </c>
      <c r="I355" s="948">
        <v>0.12</v>
      </c>
      <c r="J355" s="948">
        <f>H355-I355</f>
        <v>0.53</v>
      </c>
      <c r="K355" s="948">
        <f>F355*G355*J355*D355*E355</f>
        <v>12.72</v>
      </c>
      <c r="L355" s="948">
        <f>(2*J355)*F355*E355*D355</f>
        <v>84.800000000000011</v>
      </c>
      <c r="M355" s="952"/>
      <c r="N355" s="950">
        <v>16</v>
      </c>
      <c r="O355" s="950">
        <v>16</v>
      </c>
      <c r="P355" s="950">
        <v>16</v>
      </c>
      <c r="Q355" s="950">
        <v>16</v>
      </c>
      <c r="R355" s="950">
        <v>16</v>
      </c>
      <c r="S355" s="950">
        <v>16</v>
      </c>
      <c r="T355" s="950">
        <v>8</v>
      </c>
      <c r="U355" s="950"/>
      <c r="V355" s="950"/>
      <c r="W355" s="950">
        <v>200</v>
      </c>
      <c r="X355" s="950">
        <v>100</v>
      </c>
      <c r="Y355" s="950">
        <v>100</v>
      </c>
      <c r="Z355" s="950">
        <v>4</v>
      </c>
      <c r="AA355" s="950">
        <v>4</v>
      </c>
      <c r="AB355" s="950">
        <v>2</v>
      </c>
      <c r="AC355" s="950">
        <v>2</v>
      </c>
      <c r="AD355" s="950">
        <v>4</v>
      </c>
      <c r="AE355" s="950">
        <v>4</v>
      </c>
      <c r="AF355" s="955">
        <f t="shared" si="821"/>
        <v>101</v>
      </c>
      <c r="AG355" s="955">
        <f t="shared" si="822"/>
        <v>401</v>
      </c>
      <c r="AH355" s="955">
        <f t="shared" si="823"/>
        <v>201</v>
      </c>
      <c r="AI355" s="955">
        <v>0</v>
      </c>
      <c r="AJ355" s="955">
        <v>0</v>
      </c>
      <c r="AK355" s="948">
        <f t="shared" si="824"/>
        <v>20.8</v>
      </c>
      <c r="AL355" s="948">
        <f t="shared" si="825"/>
        <v>20.8</v>
      </c>
      <c r="AM355" s="948">
        <f t="shared" si="826"/>
        <v>40.512</v>
      </c>
      <c r="AN355" s="948">
        <f t="shared" si="827"/>
        <v>40.512</v>
      </c>
      <c r="AO355" s="948">
        <f t="shared" si="828"/>
        <v>20.8</v>
      </c>
      <c r="AP355" s="948">
        <f t="shared" si="829"/>
        <v>20.8</v>
      </c>
      <c r="AQ355" s="948">
        <f t="shared" si="830"/>
        <v>1.708</v>
      </c>
      <c r="AR355" s="948">
        <f t="shared" si="831"/>
        <v>0</v>
      </c>
      <c r="AS355" s="948">
        <f t="shared" si="832"/>
        <v>0</v>
      </c>
      <c r="AT355" s="948">
        <f t="shared" si="833"/>
        <v>83.2</v>
      </c>
      <c r="AU355" s="948">
        <f t="shared" si="834"/>
        <v>83.2</v>
      </c>
      <c r="AV355" s="948">
        <f t="shared" si="835"/>
        <v>81.024000000000001</v>
      </c>
      <c r="AW355" s="948">
        <f t="shared" si="836"/>
        <v>81.024000000000001</v>
      </c>
      <c r="AX355" s="948">
        <f t="shared" si="837"/>
        <v>83.2</v>
      </c>
      <c r="AY355" s="948">
        <f t="shared" si="838"/>
        <v>83.2</v>
      </c>
      <c r="AZ355" s="948">
        <f t="shared" si="839"/>
        <v>1200.7239999999999</v>
      </c>
      <c r="BA355" s="948">
        <f t="shared" si="840"/>
        <v>0</v>
      </c>
      <c r="BB355" s="948">
        <f t="shared" si="841"/>
        <v>0</v>
      </c>
      <c r="BC355" s="957">
        <f t="shared" si="842"/>
        <v>1.5786666666666667</v>
      </c>
      <c r="BD355" s="957">
        <f t="shared" si="842"/>
        <v>1.5786666666666667</v>
      </c>
      <c r="BE355" s="957">
        <f t="shared" si="842"/>
        <v>1.5786666666666667</v>
      </c>
      <c r="BF355" s="957">
        <f t="shared" si="842"/>
        <v>1.5786666666666667</v>
      </c>
      <c r="BG355" s="957">
        <f t="shared" si="842"/>
        <v>1.5786666666666667</v>
      </c>
      <c r="BH355" s="957">
        <f t="shared" si="842"/>
        <v>1.5786666666666667</v>
      </c>
      <c r="BI355" s="957">
        <f t="shared" si="842"/>
        <v>0.39466666666666667</v>
      </c>
      <c r="BJ355" s="957">
        <f t="shared" si="842"/>
        <v>0</v>
      </c>
      <c r="BK355" s="957">
        <f t="shared" si="842"/>
        <v>0</v>
      </c>
      <c r="BL355" s="948">
        <f t="shared" si="843"/>
        <v>131.34506666666667</v>
      </c>
      <c r="BM355" s="948">
        <f t="shared" si="843"/>
        <v>131.34506666666667</v>
      </c>
      <c r="BN355" s="948">
        <f t="shared" si="843"/>
        <v>127.909888</v>
      </c>
      <c r="BO355" s="948">
        <f t="shared" si="843"/>
        <v>127.909888</v>
      </c>
      <c r="BP355" s="948">
        <f t="shared" si="843"/>
        <v>131.34506666666667</v>
      </c>
      <c r="BQ355" s="948">
        <f t="shared" si="843"/>
        <v>131.34506666666667</v>
      </c>
      <c r="BR355" s="948">
        <f t="shared" si="843"/>
        <v>473.88573866666661</v>
      </c>
      <c r="BS355" s="948">
        <f>BB355*BK355</f>
        <v>0</v>
      </c>
      <c r="BT355" s="955">
        <f>SUM(BL355:BS355)/K355</f>
        <v>98.670265828092226</v>
      </c>
    </row>
    <row r="356" spans="1:72">
      <c r="A356" s="952">
        <v>5</v>
      </c>
      <c r="B356" s="952" t="s">
        <v>1166</v>
      </c>
      <c r="C356" s="950" t="s">
        <v>1103</v>
      </c>
      <c r="D356" s="950">
        <v>1</v>
      </c>
      <c r="E356" s="950">
        <v>1</v>
      </c>
      <c r="F356" s="948">
        <v>10</v>
      </c>
      <c r="G356" s="948">
        <v>0.25</v>
      </c>
      <c r="H356" s="948">
        <v>0.6</v>
      </c>
      <c r="I356" s="948">
        <v>0.12</v>
      </c>
      <c r="J356" s="948">
        <f t="shared" ref="J356" si="844">H356-I356</f>
        <v>0.48</v>
      </c>
      <c r="K356" s="948">
        <f t="shared" ref="K356" si="845">F356*G356*J356*D356*E356</f>
        <v>1.2</v>
      </c>
      <c r="L356" s="948">
        <f t="shared" ref="L356" si="846">(2*J356)*F356*E356*D356+(D356*E356*F356*G356)</f>
        <v>12.1</v>
      </c>
      <c r="M356" s="952"/>
      <c r="N356" s="950">
        <v>16</v>
      </c>
      <c r="O356" s="950">
        <v>16</v>
      </c>
      <c r="P356" s="950">
        <v>16</v>
      </c>
      <c r="Q356" s="950">
        <v>16</v>
      </c>
      <c r="R356" s="950">
        <v>16</v>
      </c>
      <c r="S356" s="950">
        <v>16</v>
      </c>
      <c r="T356" s="950">
        <v>8</v>
      </c>
      <c r="U356" s="950"/>
      <c r="V356" s="950"/>
      <c r="W356" s="950">
        <v>200</v>
      </c>
      <c r="X356" s="950">
        <v>100</v>
      </c>
      <c r="Y356" s="950">
        <v>100</v>
      </c>
      <c r="Z356" s="950">
        <v>4</v>
      </c>
      <c r="AA356" s="950">
        <v>4</v>
      </c>
      <c r="AB356" s="950">
        <v>2</v>
      </c>
      <c r="AC356" s="950">
        <v>2</v>
      </c>
      <c r="AD356" s="950">
        <v>4</v>
      </c>
      <c r="AE356" s="950">
        <v>4</v>
      </c>
      <c r="AF356" s="955">
        <f t="shared" si="821"/>
        <v>13.5</v>
      </c>
      <c r="AG356" s="955">
        <f t="shared" si="822"/>
        <v>51</v>
      </c>
      <c r="AH356" s="955">
        <f t="shared" si="823"/>
        <v>26</v>
      </c>
      <c r="AI356" s="955">
        <v>0</v>
      </c>
      <c r="AJ356" s="955">
        <v>0</v>
      </c>
      <c r="AK356" s="948">
        <f t="shared" si="824"/>
        <v>3.3000000000000003</v>
      </c>
      <c r="AL356" s="948">
        <f t="shared" si="825"/>
        <v>3.3000000000000003</v>
      </c>
      <c r="AM356" s="948">
        <f t="shared" si="826"/>
        <v>5.5120000000000005</v>
      </c>
      <c r="AN356" s="948">
        <f t="shared" si="827"/>
        <v>5.5120000000000005</v>
      </c>
      <c r="AO356" s="948">
        <f t="shared" si="828"/>
        <v>3.3000000000000003</v>
      </c>
      <c r="AP356" s="948">
        <f t="shared" si="829"/>
        <v>3.3000000000000003</v>
      </c>
      <c r="AQ356" s="948">
        <f t="shared" si="830"/>
        <v>1.508</v>
      </c>
      <c r="AR356" s="948">
        <f t="shared" si="831"/>
        <v>0</v>
      </c>
      <c r="AS356" s="948">
        <f t="shared" si="832"/>
        <v>0</v>
      </c>
      <c r="AT356" s="948">
        <f t="shared" si="833"/>
        <v>13.200000000000001</v>
      </c>
      <c r="AU356" s="948">
        <f t="shared" si="834"/>
        <v>13.200000000000001</v>
      </c>
      <c r="AV356" s="948">
        <f t="shared" si="835"/>
        <v>11.024000000000001</v>
      </c>
      <c r="AW356" s="948">
        <f t="shared" si="836"/>
        <v>11.024000000000001</v>
      </c>
      <c r="AX356" s="948">
        <f t="shared" si="837"/>
        <v>13.200000000000001</v>
      </c>
      <c r="AY356" s="948">
        <f t="shared" si="838"/>
        <v>13.200000000000001</v>
      </c>
      <c r="AZ356" s="948">
        <f t="shared" si="839"/>
        <v>136.47399999999999</v>
      </c>
      <c r="BA356" s="948">
        <f t="shared" si="840"/>
        <v>0</v>
      </c>
      <c r="BB356" s="948">
        <f t="shared" si="841"/>
        <v>0</v>
      </c>
      <c r="BC356" s="957">
        <f t="shared" si="842"/>
        <v>1.5786666666666667</v>
      </c>
      <c r="BD356" s="957">
        <f t="shared" si="842"/>
        <v>1.5786666666666667</v>
      </c>
      <c r="BE356" s="957">
        <f t="shared" si="842"/>
        <v>1.5786666666666667</v>
      </c>
      <c r="BF356" s="957">
        <f t="shared" si="842"/>
        <v>1.5786666666666667</v>
      </c>
      <c r="BG356" s="957">
        <f t="shared" si="842"/>
        <v>1.5786666666666667</v>
      </c>
      <c r="BH356" s="957">
        <f t="shared" si="842"/>
        <v>1.5786666666666667</v>
      </c>
      <c r="BI356" s="957">
        <f t="shared" si="842"/>
        <v>0.39466666666666667</v>
      </c>
      <c r="BJ356" s="957">
        <f t="shared" si="842"/>
        <v>0</v>
      </c>
      <c r="BK356" s="957">
        <f t="shared" si="842"/>
        <v>0</v>
      </c>
      <c r="BL356" s="948">
        <f t="shared" si="843"/>
        <v>20.8384</v>
      </c>
      <c r="BM356" s="948">
        <f t="shared" si="843"/>
        <v>20.8384</v>
      </c>
      <c r="BN356" s="948">
        <f t="shared" si="843"/>
        <v>17.403221333333335</v>
      </c>
      <c r="BO356" s="948">
        <f t="shared" si="843"/>
        <v>17.403221333333335</v>
      </c>
      <c r="BP356" s="948">
        <f t="shared" si="843"/>
        <v>20.8384</v>
      </c>
      <c r="BQ356" s="948">
        <f t="shared" si="843"/>
        <v>20.8384</v>
      </c>
      <c r="BR356" s="948">
        <f t="shared" si="843"/>
        <v>53.86173866666666</v>
      </c>
      <c r="BS356" s="948">
        <f>BB356*BK356</f>
        <v>0</v>
      </c>
      <c r="BT356" s="955">
        <f>SUM(BL356:BS356)/K356</f>
        <v>143.35148444444445</v>
      </c>
    </row>
    <row r="357" spans="1:72">
      <c r="A357" s="952"/>
      <c r="B357" s="952"/>
      <c r="C357" s="950"/>
      <c r="D357" s="950"/>
      <c r="E357" s="950"/>
      <c r="F357" s="948"/>
      <c r="G357" s="948"/>
      <c r="H357" s="948"/>
      <c r="I357" s="948"/>
      <c r="J357" s="948"/>
      <c r="K357" s="948"/>
      <c r="L357" s="948"/>
      <c r="M357" s="952"/>
      <c r="N357" s="948"/>
      <c r="O357" s="950"/>
      <c r="P357" s="950"/>
      <c r="Q357" s="950"/>
      <c r="R357" s="950"/>
      <c r="S357" s="950"/>
      <c r="T357" s="950"/>
      <c r="U357" s="950"/>
      <c r="V357" s="950"/>
      <c r="W357" s="950"/>
      <c r="X357" s="950"/>
      <c r="Y357" s="950"/>
      <c r="Z357" s="950"/>
      <c r="AA357" s="950"/>
      <c r="AB357" s="950"/>
      <c r="AC357" s="950"/>
      <c r="AD357" s="950"/>
      <c r="AE357" s="950"/>
      <c r="AF357" s="955"/>
      <c r="AG357" s="955"/>
      <c r="AH357" s="955"/>
      <c r="AI357" s="955"/>
      <c r="AJ357" s="955"/>
      <c r="AK357" s="948"/>
      <c r="AL357" s="948"/>
      <c r="AM357" s="948"/>
      <c r="AN357" s="948"/>
      <c r="AO357" s="948"/>
      <c r="AP357" s="948"/>
      <c r="AQ357" s="948"/>
      <c r="AR357" s="948"/>
      <c r="AS357" s="948"/>
      <c r="AT357" s="948"/>
      <c r="AU357" s="948"/>
      <c r="AV357" s="948"/>
      <c r="AW357" s="948"/>
      <c r="AX357" s="948"/>
      <c r="AY357" s="948"/>
      <c r="AZ357" s="948"/>
      <c r="BA357" s="948"/>
      <c r="BB357" s="948"/>
      <c r="BC357" s="957"/>
      <c r="BD357" s="957"/>
      <c r="BE357" s="957"/>
      <c r="BF357" s="957"/>
      <c r="BG357" s="957"/>
      <c r="BH357" s="957"/>
      <c r="BI357" s="957"/>
      <c r="BJ357" s="957"/>
      <c r="BK357" s="957"/>
      <c r="BL357" s="948"/>
      <c r="BM357" s="948"/>
      <c r="BN357" s="948"/>
      <c r="BO357" s="948"/>
      <c r="BP357" s="948"/>
      <c r="BQ357" s="948"/>
      <c r="BR357" s="948"/>
      <c r="BS357" s="948"/>
      <c r="BT357" s="955"/>
    </row>
    <row r="358" spans="1:72">
      <c r="A358" s="960" t="s">
        <v>8</v>
      </c>
      <c r="B358" s="960" t="s">
        <v>1104</v>
      </c>
      <c r="C358" s="950"/>
      <c r="D358" s="950"/>
      <c r="E358" s="950"/>
      <c r="F358" s="948"/>
      <c r="G358" s="948"/>
      <c r="H358" s="948"/>
      <c r="I358" s="948"/>
      <c r="J358" s="948"/>
      <c r="K358" s="948"/>
      <c r="L358" s="948"/>
      <c r="M358" s="952"/>
      <c r="N358" s="959" t="str">
        <f>A358</f>
        <v>B</v>
      </c>
      <c r="O358" s="959" t="str">
        <f>B358</f>
        <v>Horizontal</v>
      </c>
      <c r="P358" s="950"/>
      <c r="Q358" s="950"/>
      <c r="R358" s="950"/>
      <c r="S358" s="950"/>
      <c r="T358" s="950"/>
      <c r="U358" s="950"/>
      <c r="V358" s="950"/>
      <c r="W358" s="950"/>
      <c r="X358" s="950"/>
      <c r="Y358" s="950"/>
      <c r="Z358" s="950"/>
      <c r="AA358" s="950"/>
      <c r="AB358" s="950"/>
      <c r="AC358" s="950"/>
      <c r="AD358" s="950"/>
      <c r="AE358" s="950"/>
      <c r="AF358" s="955"/>
      <c r="AG358" s="955"/>
      <c r="AH358" s="955"/>
      <c r="AI358" s="955"/>
      <c r="AJ358" s="955"/>
      <c r="AK358" s="948"/>
      <c r="AL358" s="948"/>
      <c r="AM358" s="948"/>
      <c r="AN358" s="948"/>
      <c r="AO358" s="948"/>
      <c r="AP358" s="948"/>
      <c r="AQ358" s="948"/>
      <c r="AR358" s="948"/>
      <c r="AS358" s="948"/>
      <c r="AT358" s="948"/>
      <c r="AU358" s="948"/>
      <c r="AV358" s="948"/>
      <c r="AW358" s="948"/>
      <c r="AX358" s="948"/>
      <c r="AY358" s="948"/>
      <c r="AZ358" s="948"/>
      <c r="BA358" s="948"/>
      <c r="BB358" s="948"/>
      <c r="BC358" s="957"/>
      <c r="BD358" s="957"/>
      <c r="BE358" s="957"/>
      <c r="BF358" s="957"/>
      <c r="BG358" s="957"/>
      <c r="BH358" s="957"/>
      <c r="BI358" s="957"/>
      <c r="BJ358" s="957"/>
      <c r="BK358" s="957"/>
      <c r="BL358" s="948"/>
      <c r="BM358" s="948"/>
      <c r="BN358" s="948"/>
      <c r="BO358" s="948"/>
      <c r="BP358" s="948"/>
      <c r="BQ358" s="948"/>
      <c r="BR358" s="948"/>
      <c r="BS358" s="948"/>
      <c r="BT358" s="955"/>
    </row>
    <row r="359" spans="1:72">
      <c r="A359" s="952">
        <v>1</v>
      </c>
      <c r="B359" s="952" t="s">
        <v>1167</v>
      </c>
      <c r="C359" s="950" t="s">
        <v>1168</v>
      </c>
      <c r="D359" s="950">
        <v>1</v>
      </c>
      <c r="E359" s="950">
        <v>1</v>
      </c>
      <c r="F359" s="948">
        <v>8</v>
      </c>
      <c r="G359" s="948">
        <v>0.3</v>
      </c>
      <c r="H359" s="948">
        <v>0.7</v>
      </c>
      <c r="I359" s="948">
        <v>0.12</v>
      </c>
      <c r="J359" s="948">
        <f t="shared" ref="J359:J365" si="847">H359-I359</f>
        <v>0.57999999999999996</v>
      </c>
      <c r="K359" s="948">
        <f>F359*G359*J359*D359*E359</f>
        <v>1.3919999999999999</v>
      </c>
      <c r="L359" s="948">
        <f t="shared" ref="L359" si="848">(2*J359)*F359*E359*D359+(D359*E359*F359*G359)</f>
        <v>11.68</v>
      </c>
      <c r="M359" s="952"/>
      <c r="N359" s="950">
        <v>16</v>
      </c>
      <c r="O359" s="950">
        <v>16</v>
      </c>
      <c r="P359" s="950">
        <v>16</v>
      </c>
      <c r="Q359" s="950">
        <v>16</v>
      </c>
      <c r="R359" s="950">
        <v>16</v>
      </c>
      <c r="S359" s="950">
        <v>16</v>
      </c>
      <c r="T359" s="950">
        <v>8</v>
      </c>
      <c r="U359" s="950"/>
      <c r="V359" s="950"/>
      <c r="W359" s="950">
        <v>200</v>
      </c>
      <c r="X359" s="950">
        <v>100</v>
      </c>
      <c r="Y359" s="950">
        <v>100</v>
      </c>
      <c r="Z359" s="950">
        <v>4</v>
      </c>
      <c r="AA359" s="950">
        <v>4</v>
      </c>
      <c r="AB359" s="950">
        <v>2</v>
      </c>
      <c r="AC359" s="950">
        <v>2</v>
      </c>
      <c r="AD359" s="950">
        <v>4</v>
      </c>
      <c r="AE359" s="950">
        <v>4</v>
      </c>
      <c r="AF359" s="955">
        <f t="shared" ref="AF359:AF365" si="849">(F359/4)/(W359/1000)+1</f>
        <v>11</v>
      </c>
      <c r="AG359" s="955">
        <f t="shared" ref="AG359:AG365" si="850">(F359/2)/(X359/1000)+1</f>
        <v>41</v>
      </c>
      <c r="AH359" s="955">
        <f t="shared" ref="AH359:AH365" si="851">(F359/4)/(Y359/1000)+1</f>
        <v>21</v>
      </c>
      <c r="AI359" s="955">
        <v>0</v>
      </c>
      <c r="AJ359" s="955">
        <v>0</v>
      </c>
      <c r="AK359" s="948">
        <f t="shared" ref="AK359:AK365" si="852">(F359/4)+(20*N359/1000)+(10*N359/1000)+(8*N359/1000)+(6*2*N359/1000)</f>
        <v>2.8000000000000003</v>
      </c>
      <c r="AL359" s="948">
        <f t="shared" ref="AL359:AL365" si="853">(F359/4)+(20*O359/1000)+(10*O359/1000)+(8*O359/1000)+(6*2*O359/1000)</f>
        <v>2.8000000000000003</v>
      </c>
      <c r="AM359" s="948">
        <f t="shared" ref="AM359:AM365" si="854">(F359/2)+(20*P359/1000)+(6*2*P359/1000)</f>
        <v>4.5120000000000005</v>
      </c>
      <c r="AN359" s="948">
        <f t="shared" ref="AN359:AN365" si="855">(F359/2)+(20*Q359/1000)+(6*2*Q359/1000)</f>
        <v>4.5120000000000005</v>
      </c>
      <c r="AO359" s="948">
        <f t="shared" ref="AO359:AO365" si="856">(F359/4)+(20*R359/1000)+(10*R359/1000)+(8*R359/1000)+(6*2*R359/1000)</f>
        <v>2.8000000000000003</v>
      </c>
      <c r="AP359" s="948">
        <f t="shared" ref="AP359:AP365" si="857">(F359/4)+(20*S359/1000)+(10*S359/1000)+(8*S359/1000)+(6*2*S359/1000)</f>
        <v>2.8000000000000003</v>
      </c>
      <c r="AQ359" s="948">
        <f t="shared" ref="AQ359:AQ365" si="858">(2*G359)+(2*H359)+(6*T359/1000)-(8*0.03)</f>
        <v>1.8080000000000001</v>
      </c>
      <c r="AR359" s="948">
        <f t="shared" ref="AR359:AR365" si="859">((H359)+(2*6*U359/1000)-(2*0.03))*AI359</f>
        <v>0</v>
      </c>
      <c r="AS359" s="948">
        <f t="shared" ref="AS359:AS365" si="860">((G359)+(2*6*V359/1000)-(2*0.03))*AJ359</f>
        <v>0</v>
      </c>
      <c r="AT359" s="948">
        <f t="shared" ref="AT359:AT365" si="861">AK359*Z359*E359*D359</f>
        <v>11.200000000000001</v>
      </c>
      <c r="AU359" s="948">
        <f t="shared" ref="AU359:AU365" si="862">AL359*AA359*E359*D359</f>
        <v>11.200000000000001</v>
      </c>
      <c r="AV359" s="948">
        <f t="shared" ref="AV359:AV365" si="863">AM359*AB359*E359*D359</f>
        <v>9.0240000000000009</v>
      </c>
      <c r="AW359" s="948">
        <f t="shared" ref="AW359:AW365" si="864">AN359*AC359*E359*D359</f>
        <v>9.0240000000000009</v>
      </c>
      <c r="AX359" s="948">
        <f t="shared" ref="AX359:AX365" si="865">AO359*AD359*E359*D359</f>
        <v>11.200000000000001</v>
      </c>
      <c r="AY359" s="948">
        <f t="shared" ref="AY359:AY365" si="866">AP359*AE359*E359*D359</f>
        <v>11.200000000000001</v>
      </c>
      <c r="AZ359" s="948">
        <f t="shared" ref="AZ359:AZ365" si="867">AQ359*(AF359+AG359+AH359)*E359*D359</f>
        <v>131.98400000000001</v>
      </c>
      <c r="BA359" s="948">
        <f t="shared" ref="BA359:BA365" si="868">AR359*(AF359+AG359+AH359)*E359*D359</f>
        <v>0</v>
      </c>
      <c r="BB359" s="948">
        <f t="shared" ref="BB359:BB365" si="869">AS359*(AF359+AG359+AH359)*E359*D359</f>
        <v>0</v>
      </c>
      <c r="BC359" s="957">
        <f t="shared" ref="BC359:BK365" si="870">N359*N359*0.074/12</f>
        <v>1.5786666666666667</v>
      </c>
      <c r="BD359" s="957">
        <f t="shared" si="870"/>
        <v>1.5786666666666667</v>
      </c>
      <c r="BE359" s="957">
        <f t="shared" si="870"/>
        <v>1.5786666666666667</v>
      </c>
      <c r="BF359" s="957">
        <f t="shared" si="870"/>
        <v>1.5786666666666667</v>
      </c>
      <c r="BG359" s="957">
        <f t="shared" si="870"/>
        <v>1.5786666666666667</v>
      </c>
      <c r="BH359" s="957">
        <f t="shared" si="870"/>
        <v>1.5786666666666667</v>
      </c>
      <c r="BI359" s="957">
        <f t="shared" si="870"/>
        <v>0.39466666666666667</v>
      </c>
      <c r="BJ359" s="957">
        <f t="shared" si="870"/>
        <v>0</v>
      </c>
      <c r="BK359" s="957">
        <f t="shared" si="870"/>
        <v>0</v>
      </c>
      <c r="BL359" s="948">
        <f t="shared" ref="BL359:BR365" si="871">AT359*BC359</f>
        <v>17.68106666666667</v>
      </c>
      <c r="BM359" s="948">
        <f t="shared" si="871"/>
        <v>17.68106666666667</v>
      </c>
      <c r="BN359" s="948">
        <f t="shared" si="871"/>
        <v>14.245888000000001</v>
      </c>
      <c r="BO359" s="948">
        <f t="shared" si="871"/>
        <v>14.245888000000001</v>
      </c>
      <c r="BP359" s="948">
        <f t="shared" si="871"/>
        <v>17.68106666666667</v>
      </c>
      <c r="BQ359" s="948">
        <f t="shared" si="871"/>
        <v>17.68106666666667</v>
      </c>
      <c r="BR359" s="948">
        <f t="shared" si="871"/>
        <v>52.089685333333335</v>
      </c>
      <c r="BS359" s="948">
        <f t="shared" ref="BS359:BS365" si="872">BB359*BK359</f>
        <v>0</v>
      </c>
      <c r="BT359" s="955">
        <f t="shared" ref="BT359:BT365" si="873">SUM(BL359:BS359)/K359</f>
        <v>108.69664367816094</v>
      </c>
    </row>
    <row r="360" spans="1:72">
      <c r="A360" s="952">
        <v>2</v>
      </c>
      <c r="B360" s="952" t="s">
        <v>1186</v>
      </c>
      <c r="C360" s="950" t="s">
        <v>1187</v>
      </c>
      <c r="D360" s="950">
        <v>1</v>
      </c>
      <c r="E360" s="950">
        <v>1</v>
      </c>
      <c r="F360" s="948">
        <v>14</v>
      </c>
      <c r="G360" s="948">
        <v>0.3</v>
      </c>
      <c r="H360" s="948">
        <v>0.65</v>
      </c>
      <c r="I360" s="948">
        <v>0.12</v>
      </c>
      <c r="J360" s="948">
        <f t="shared" si="847"/>
        <v>0.53</v>
      </c>
      <c r="K360" s="948">
        <f t="shared" ref="K360:K365" si="874">F360*G360*J360*D360*E360</f>
        <v>2.2260000000000004</v>
      </c>
      <c r="L360" s="948">
        <f t="shared" ref="L360:L365" si="875">(2*J360)*F360*E360*D360</f>
        <v>14.84</v>
      </c>
      <c r="M360" s="952"/>
      <c r="N360" s="950">
        <v>16</v>
      </c>
      <c r="O360" s="950">
        <v>16</v>
      </c>
      <c r="P360" s="950">
        <v>16</v>
      </c>
      <c r="Q360" s="950">
        <v>16</v>
      </c>
      <c r="R360" s="950">
        <v>16</v>
      </c>
      <c r="S360" s="950">
        <v>16</v>
      </c>
      <c r="T360" s="950">
        <v>8</v>
      </c>
      <c r="U360" s="950"/>
      <c r="V360" s="950"/>
      <c r="W360" s="950">
        <v>200</v>
      </c>
      <c r="X360" s="950">
        <v>100</v>
      </c>
      <c r="Y360" s="950">
        <v>100</v>
      </c>
      <c r="Z360" s="950">
        <v>4</v>
      </c>
      <c r="AA360" s="950">
        <v>4</v>
      </c>
      <c r="AB360" s="950">
        <v>2</v>
      </c>
      <c r="AC360" s="950">
        <v>2</v>
      </c>
      <c r="AD360" s="950">
        <v>4</v>
      </c>
      <c r="AE360" s="950">
        <v>4</v>
      </c>
      <c r="AF360" s="955">
        <f t="shared" si="849"/>
        <v>18.5</v>
      </c>
      <c r="AG360" s="955">
        <f t="shared" si="850"/>
        <v>71</v>
      </c>
      <c r="AH360" s="955">
        <f t="shared" si="851"/>
        <v>36</v>
      </c>
      <c r="AI360" s="955">
        <v>0</v>
      </c>
      <c r="AJ360" s="955">
        <v>0</v>
      </c>
      <c r="AK360" s="948">
        <f t="shared" si="852"/>
        <v>4.3</v>
      </c>
      <c r="AL360" s="948">
        <f t="shared" si="853"/>
        <v>4.3</v>
      </c>
      <c r="AM360" s="948">
        <f t="shared" si="854"/>
        <v>7.5120000000000005</v>
      </c>
      <c r="AN360" s="948">
        <f t="shared" si="855"/>
        <v>7.5120000000000005</v>
      </c>
      <c r="AO360" s="948">
        <f t="shared" si="856"/>
        <v>4.3</v>
      </c>
      <c r="AP360" s="948">
        <f t="shared" si="857"/>
        <v>4.3</v>
      </c>
      <c r="AQ360" s="948">
        <f t="shared" si="858"/>
        <v>1.708</v>
      </c>
      <c r="AR360" s="948">
        <f t="shared" si="859"/>
        <v>0</v>
      </c>
      <c r="AS360" s="948">
        <f t="shared" si="860"/>
        <v>0</v>
      </c>
      <c r="AT360" s="948">
        <f t="shared" si="861"/>
        <v>17.2</v>
      </c>
      <c r="AU360" s="948">
        <f t="shared" si="862"/>
        <v>17.2</v>
      </c>
      <c r="AV360" s="948">
        <f t="shared" si="863"/>
        <v>15.024000000000001</v>
      </c>
      <c r="AW360" s="948">
        <f t="shared" si="864"/>
        <v>15.024000000000001</v>
      </c>
      <c r="AX360" s="948">
        <f t="shared" si="865"/>
        <v>17.2</v>
      </c>
      <c r="AY360" s="948">
        <f t="shared" si="866"/>
        <v>17.2</v>
      </c>
      <c r="AZ360" s="948">
        <f t="shared" si="867"/>
        <v>214.35399999999998</v>
      </c>
      <c r="BA360" s="948">
        <f t="shared" si="868"/>
        <v>0</v>
      </c>
      <c r="BB360" s="948">
        <f t="shared" si="869"/>
        <v>0</v>
      </c>
      <c r="BC360" s="957">
        <f t="shared" si="870"/>
        <v>1.5786666666666667</v>
      </c>
      <c r="BD360" s="957">
        <f t="shared" si="870"/>
        <v>1.5786666666666667</v>
      </c>
      <c r="BE360" s="957">
        <f t="shared" si="870"/>
        <v>1.5786666666666667</v>
      </c>
      <c r="BF360" s="957">
        <f t="shared" si="870"/>
        <v>1.5786666666666667</v>
      </c>
      <c r="BG360" s="957">
        <f t="shared" si="870"/>
        <v>1.5786666666666667</v>
      </c>
      <c r="BH360" s="957">
        <f t="shared" si="870"/>
        <v>1.5786666666666667</v>
      </c>
      <c r="BI360" s="957">
        <f t="shared" si="870"/>
        <v>0.39466666666666667</v>
      </c>
      <c r="BJ360" s="957">
        <f t="shared" si="870"/>
        <v>0</v>
      </c>
      <c r="BK360" s="957">
        <f t="shared" si="870"/>
        <v>0</v>
      </c>
      <c r="BL360" s="948">
        <f t="shared" si="871"/>
        <v>27.153066666666664</v>
      </c>
      <c r="BM360" s="948">
        <f t="shared" si="871"/>
        <v>27.153066666666664</v>
      </c>
      <c r="BN360" s="948">
        <f t="shared" si="871"/>
        <v>23.717888000000002</v>
      </c>
      <c r="BO360" s="948">
        <f t="shared" si="871"/>
        <v>23.717888000000002</v>
      </c>
      <c r="BP360" s="948">
        <f t="shared" si="871"/>
        <v>27.153066666666664</v>
      </c>
      <c r="BQ360" s="948">
        <f t="shared" si="871"/>
        <v>27.153066666666664</v>
      </c>
      <c r="BR360" s="948">
        <f t="shared" si="871"/>
        <v>84.598378666666662</v>
      </c>
      <c r="BS360" s="948">
        <f t="shared" si="872"/>
        <v>0</v>
      </c>
      <c r="BT360" s="955">
        <f t="shared" si="873"/>
        <v>108.10710751722071</v>
      </c>
    </row>
    <row r="361" spans="1:72">
      <c r="A361" s="952">
        <v>2</v>
      </c>
      <c r="B361" s="952" t="s">
        <v>1188</v>
      </c>
      <c r="C361" s="950" t="s">
        <v>1189</v>
      </c>
      <c r="D361" s="950">
        <v>1</v>
      </c>
      <c r="E361" s="950">
        <v>1</v>
      </c>
      <c r="F361" s="948">
        <v>14</v>
      </c>
      <c r="G361" s="948">
        <v>0.3</v>
      </c>
      <c r="H361" s="948">
        <v>0.7</v>
      </c>
      <c r="I361" s="948">
        <v>0.12</v>
      </c>
      <c r="J361" s="948">
        <f t="shared" si="847"/>
        <v>0.57999999999999996</v>
      </c>
      <c r="K361" s="948">
        <f t="shared" si="874"/>
        <v>2.4359999999999999</v>
      </c>
      <c r="L361" s="948">
        <f t="shared" si="875"/>
        <v>16.239999999999998</v>
      </c>
      <c r="M361" s="952"/>
      <c r="N361" s="950">
        <v>16</v>
      </c>
      <c r="O361" s="950">
        <v>16</v>
      </c>
      <c r="P361" s="950">
        <v>16</v>
      </c>
      <c r="Q361" s="950">
        <v>16</v>
      </c>
      <c r="R361" s="950">
        <v>16</v>
      </c>
      <c r="S361" s="950">
        <v>16</v>
      </c>
      <c r="T361" s="950">
        <v>8</v>
      </c>
      <c r="U361" s="950"/>
      <c r="V361" s="950"/>
      <c r="W361" s="950">
        <v>200</v>
      </c>
      <c r="X361" s="950">
        <v>100</v>
      </c>
      <c r="Y361" s="950">
        <v>100</v>
      </c>
      <c r="Z361" s="950">
        <v>4</v>
      </c>
      <c r="AA361" s="950">
        <v>4</v>
      </c>
      <c r="AB361" s="950">
        <v>2</v>
      </c>
      <c r="AC361" s="950">
        <v>2</v>
      </c>
      <c r="AD361" s="950">
        <v>4</v>
      </c>
      <c r="AE361" s="950">
        <v>4</v>
      </c>
      <c r="AF361" s="955">
        <f t="shared" si="849"/>
        <v>18.5</v>
      </c>
      <c r="AG361" s="955">
        <f t="shared" si="850"/>
        <v>71</v>
      </c>
      <c r="AH361" s="955">
        <f t="shared" si="851"/>
        <v>36</v>
      </c>
      <c r="AI361" s="955">
        <v>0</v>
      </c>
      <c r="AJ361" s="955">
        <v>0</v>
      </c>
      <c r="AK361" s="948">
        <f t="shared" si="852"/>
        <v>4.3</v>
      </c>
      <c r="AL361" s="948">
        <f t="shared" si="853"/>
        <v>4.3</v>
      </c>
      <c r="AM361" s="948">
        <f t="shared" si="854"/>
        <v>7.5120000000000005</v>
      </c>
      <c r="AN361" s="948">
        <f t="shared" si="855"/>
        <v>7.5120000000000005</v>
      </c>
      <c r="AO361" s="948">
        <f t="shared" si="856"/>
        <v>4.3</v>
      </c>
      <c r="AP361" s="948">
        <f t="shared" si="857"/>
        <v>4.3</v>
      </c>
      <c r="AQ361" s="948">
        <f t="shared" si="858"/>
        <v>1.8080000000000001</v>
      </c>
      <c r="AR361" s="948">
        <f t="shared" si="859"/>
        <v>0</v>
      </c>
      <c r="AS361" s="948">
        <f t="shared" si="860"/>
        <v>0</v>
      </c>
      <c r="AT361" s="948">
        <f t="shared" si="861"/>
        <v>17.2</v>
      </c>
      <c r="AU361" s="948">
        <f t="shared" si="862"/>
        <v>17.2</v>
      </c>
      <c r="AV361" s="948">
        <f t="shared" si="863"/>
        <v>15.024000000000001</v>
      </c>
      <c r="AW361" s="948">
        <f t="shared" si="864"/>
        <v>15.024000000000001</v>
      </c>
      <c r="AX361" s="948">
        <f t="shared" si="865"/>
        <v>17.2</v>
      </c>
      <c r="AY361" s="948">
        <f t="shared" si="866"/>
        <v>17.2</v>
      </c>
      <c r="AZ361" s="948">
        <f t="shared" si="867"/>
        <v>226.904</v>
      </c>
      <c r="BA361" s="948">
        <f t="shared" si="868"/>
        <v>0</v>
      </c>
      <c r="BB361" s="948">
        <f t="shared" si="869"/>
        <v>0</v>
      </c>
      <c r="BC361" s="957">
        <f t="shared" si="870"/>
        <v>1.5786666666666667</v>
      </c>
      <c r="BD361" s="957">
        <f t="shared" si="870"/>
        <v>1.5786666666666667</v>
      </c>
      <c r="BE361" s="957">
        <f t="shared" si="870"/>
        <v>1.5786666666666667</v>
      </c>
      <c r="BF361" s="957">
        <f t="shared" si="870"/>
        <v>1.5786666666666667</v>
      </c>
      <c r="BG361" s="957">
        <f t="shared" si="870"/>
        <v>1.5786666666666667</v>
      </c>
      <c r="BH361" s="957">
        <f t="shared" si="870"/>
        <v>1.5786666666666667</v>
      </c>
      <c r="BI361" s="957">
        <f t="shared" si="870"/>
        <v>0.39466666666666667</v>
      </c>
      <c r="BJ361" s="957">
        <f t="shared" si="870"/>
        <v>0</v>
      </c>
      <c r="BK361" s="957">
        <f t="shared" si="870"/>
        <v>0</v>
      </c>
      <c r="BL361" s="948">
        <f t="shared" si="871"/>
        <v>27.153066666666664</v>
      </c>
      <c r="BM361" s="948">
        <f t="shared" si="871"/>
        <v>27.153066666666664</v>
      </c>
      <c r="BN361" s="948">
        <f t="shared" si="871"/>
        <v>23.717888000000002</v>
      </c>
      <c r="BO361" s="948">
        <f t="shared" si="871"/>
        <v>23.717888000000002</v>
      </c>
      <c r="BP361" s="948">
        <f t="shared" si="871"/>
        <v>27.153066666666664</v>
      </c>
      <c r="BQ361" s="948">
        <f t="shared" si="871"/>
        <v>27.153066666666664</v>
      </c>
      <c r="BR361" s="948">
        <f t="shared" si="871"/>
        <v>89.551445333333334</v>
      </c>
      <c r="BS361" s="948">
        <f t="shared" si="872"/>
        <v>0</v>
      </c>
      <c r="BT361" s="955">
        <f t="shared" si="873"/>
        <v>100.8208078817734</v>
      </c>
    </row>
    <row r="362" spans="1:72">
      <c r="A362" s="952">
        <v>3</v>
      </c>
      <c r="B362" s="952" t="s">
        <v>1170</v>
      </c>
      <c r="C362" s="950" t="s">
        <v>1190</v>
      </c>
      <c r="D362" s="950">
        <v>1</v>
      </c>
      <c r="E362" s="950">
        <v>1</v>
      </c>
      <c r="F362" s="948">
        <v>32</v>
      </c>
      <c r="G362" s="948">
        <v>0.3</v>
      </c>
      <c r="H362" s="948">
        <v>0.65</v>
      </c>
      <c r="I362" s="948">
        <v>0.12</v>
      </c>
      <c r="J362" s="948">
        <f t="shared" si="847"/>
        <v>0.53</v>
      </c>
      <c r="K362" s="948">
        <f t="shared" si="874"/>
        <v>5.0880000000000001</v>
      </c>
      <c r="L362" s="948">
        <f t="shared" si="875"/>
        <v>33.92</v>
      </c>
      <c r="M362" s="952"/>
      <c r="N362" s="950">
        <v>16</v>
      </c>
      <c r="O362" s="950">
        <v>16</v>
      </c>
      <c r="P362" s="950">
        <v>16</v>
      </c>
      <c r="Q362" s="950">
        <v>16</v>
      </c>
      <c r="R362" s="950">
        <v>16</v>
      </c>
      <c r="S362" s="950">
        <v>16</v>
      </c>
      <c r="T362" s="950">
        <v>8</v>
      </c>
      <c r="U362" s="950"/>
      <c r="V362" s="950"/>
      <c r="W362" s="950">
        <v>200</v>
      </c>
      <c r="X362" s="950">
        <v>100</v>
      </c>
      <c r="Y362" s="950">
        <v>100</v>
      </c>
      <c r="Z362" s="950">
        <v>9</v>
      </c>
      <c r="AA362" s="950">
        <v>6</v>
      </c>
      <c r="AB362" s="950">
        <v>4</v>
      </c>
      <c r="AC362" s="950">
        <v>4</v>
      </c>
      <c r="AD362" s="950">
        <v>9</v>
      </c>
      <c r="AE362" s="950">
        <v>6</v>
      </c>
      <c r="AF362" s="955">
        <f t="shared" si="849"/>
        <v>41</v>
      </c>
      <c r="AG362" s="955">
        <f t="shared" si="850"/>
        <v>161</v>
      </c>
      <c r="AH362" s="955">
        <f t="shared" si="851"/>
        <v>81</v>
      </c>
      <c r="AI362" s="955">
        <v>0</v>
      </c>
      <c r="AJ362" s="955">
        <v>0</v>
      </c>
      <c r="AK362" s="948">
        <f t="shared" si="852"/>
        <v>8.8000000000000007</v>
      </c>
      <c r="AL362" s="948">
        <f t="shared" si="853"/>
        <v>8.8000000000000007</v>
      </c>
      <c r="AM362" s="948">
        <f t="shared" si="854"/>
        <v>16.512</v>
      </c>
      <c r="AN362" s="948">
        <f t="shared" si="855"/>
        <v>16.512</v>
      </c>
      <c r="AO362" s="948">
        <f t="shared" si="856"/>
        <v>8.8000000000000007</v>
      </c>
      <c r="AP362" s="948">
        <f t="shared" si="857"/>
        <v>8.8000000000000007</v>
      </c>
      <c r="AQ362" s="948">
        <f t="shared" si="858"/>
        <v>1.708</v>
      </c>
      <c r="AR362" s="948">
        <f t="shared" si="859"/>
        <v>0</v>
      </c>
      <c r="AS362" s="948">
        <f t="shared" si="860"/>
        <v>0</v>
      </c>
      <c r="AT362" s="948">
        <f t="shared" si="861"/>
        <v>79.2</v>
      </c>
      <c r="AU362" s="948">
        <f t="shared" si="862"/>
        <v>52.800000000000004</v>
      </c>
      <c r="AV362" s="948">
        <f t="shared" si="863"/>
        <v>66.048000000000002</v>
      </c>
      <c r="AW362" s="948">
        <f t="shared" si="864"/>
        <v>66.048000000000002</v>
      </c>
      <c r="AX362" s="948">
        <f t="shared" si="865"/>
        <v>79.2</v>
      </c>
      <c r="AY362" s="948">
        <f t="shared" si="866"/>
        <v>52.800000000000004</v>
      </c>
      <c r="AZ362" s="948">
        <f t="shared" si="867"/>
        <v>483.36399999999998</v>
      </c>
      <c r="BA362" s="948">
        <f t="shared" si="868"/>
        <v>0</v>
      </c>
      <c r="BB362" s="948">
        <f t="shared" si="869"/>
        <v>0</v>
      </c>
      <c r="BC362" s="957">
        <f t="shared" si="870"/>
        <v>1.5786666666666667</v>
      </c>
      <c r="BD362" s="957">
        <f t="shared" si="870"/>
        <v>1.5786666666666667</v>
      </c>
      <c r="BE362" s="957">
        <f t="shared" si="870"/>
        <v>1.5786666666666667</v>
      </c>
      <c r="BF362" s="957">
        <f t="shared" si="870"/>
        <v>1.5786666666666667</v>
      </c>
      <c r="BG362" s="957">
        <f t="shared" si="870"/>
        <v>1.5786666666666667</v>
      </c>
      <c r="BH362" s="957">
        <f t="shared" si="870"/>
        <v>1.5786666666666667</v>
      </c>
      <c r="BI362" s="957">
        <f t="shared" si="870"/>
        <v>0.39466666666666667</v>
      </c>
      <c r="BJ362" s="957">
        <f t="shared" si="870"/>
        <v>0</v>
      </c>
      <c r="BK362" s="957">
        <f t="shared" si="870"/>
        <v>0</v>
      </c>
      <c r="BL362" s="948">
        <f t="shared" si="871"/>
        <v>125.0304</v>
      </c>
      <c r="BM362" s="948">
        <f t="shared" si="871"/>
        <v>83.3536</v>
      </c>
      <c r="BN362" s="948">
        <f t="shared" si="871"/>
        <v>104.267776</v>
      </c>
      <c r="BO362" s="948">
        <f t="shared" si="871"/>
        <v>104.267776</v>
      </c>
      <c r="BP362" s="948">
        <f t="shared" si="871"/>
        <v>125.0304</v>
      </c>
      <c r="BQ362" s="948">
        <f t="shared" si="871"/>
        <v>83.3536</v>
      </c>
      <c r="BR362" s="948">
        <f t="shared" si="871"/>
        <v>190.76765866666665</v>
      </c>
      <c r="BS362" s="948">
        <f t="shared" si="872"/>
        <v>0</v>
      </c>
      <c r="BT362" s="955">
        <f t="shared" si="873"/>
        <v>160.39135429769394</v>
      </c>
    </row>
    <row r="363" spans="1:72">
      <c r="A363" s="952">
        <v>4</v>
      </c>
      <c r="B363" s="952" t="s">
        <v>1183</v>
      </c>
      <c r="C363" s="950" t="s">
        <v>1191</v>
      </c>
      <c r="D363" s="950">
        <v>1</v>
      </c>
      <c r="E363" s="950">
        <v>1</v>
      </c>
      <c r="F363" s="948">
        <v>24</v>
      </c>
      <c r="G363" s="948">
        <v>0.3</v>
      </c>
      <c r="H363" s="948">
        <v>0.65</v>
      </c>
      <c r="I363" s="948">
        <v>0.12</v>
      </c>
      <c r="J363" s="948">
        <f t="shared" si="847"/>
        <v>0.53</v>
      </c>
      <c r="K363" s="948">
        <f t="shared" si="874"/>
        <v>3.8159999999999998</v>
      </c>
      <c r="L363" s="948">
        <f t="shared" si="875"/>
        <v>25.44</v>
      </c>
      <c r="M363" s="952"/>
      <c r="N363" s="950">
        <v>25</v>
      </c>
      <c r="O363" s="950">
        <v>25</v>
      </c>
      <c r="P363" s="950">
        <v>25</v>
      </c>
      <c r="Q363" s="950">
        <v>25</v>
      </c>
      <c r="R363" s="950">
        <v>25</v>
      </c>
      <c r="S363" s="950">
        <v>25</v>
      </c>
      <c r="T363" s="950">
        <v>8</v>
      </c>
      <c r="U363" s="950"/>
      <c r="V363" s="950"/>
      <c r="W363" s="950">
        <v>200</v>
      </c>
      <c r="X363" s="950">
        <v>100</v>
      </c>
      <c r="Y363" s="950">
        <v>100</v>
      </c>
      <c r="Z363" s="950">
        <v>9</v>
      </c>
      <c r="AA363" s="950">
        <v>6</v>
      </c>
      <c r="AB363" s="950">
        <v>4</v>
      </c>
      <c r="AC363" s="950">
        <v>4</v>
      </c>
      <c r="AD363" s="950">
        <v>9</v>
      </c>
      <c r="AE363" s="950">
        <v>6</v>
      </c>
      <c r="AF363" s="955">
        <f t="shared" si="849"/>
        <v>31</v>
      </c>
      <c r="AG363" s="955">
        <f t="shared" si="850"/>
        <v>121</v>
      </c>
      <c r="AH363" s="955">
        <f t="shared" si="851"/>
        <v>61</v>
      </c>
      <c r="AI363" s="955">
        <v>0</v>
      </c>
      <c r="AJ363" s="955">
        <v>0</v>
      </c>
      <c r="AK363" s="948">
        <f t="shared" si="852"/>
        <v>7.25</v>
      </c>
      <c r="AL363" s="948">
        <f t="shared" si="853"/>
        <v>7.25</v>
      </c>
      <c r="AM363" s="948">
        <f t="shared" si="854"/>
        <v>12.8</v>
      </c>
      <c r="AN363" s="948">
        <f t="shared" si="855"/>
        <v>12.8</v>
      </c>
      <c r="AO363" s="948">
        <f t="shared" si="856"/>
        <v>7.25</v>
      </c>
      <c r="AP363" s="948">
        <f t="shared" si="857"/>
        <v>7.25</v>
      </c>
      <c r="AQ363" s="948">
        <f t="shared" si="858"/>
        <v>1.708</v>
      </c>
      <c r="AR363" s="948">
        <f t="shared" si="859"/>
        <v>0</v>
      </c>
      <c r="AS363" s="948">
        <f t="shared" si="860"/>
        <v>0</v>
      </c>
      <c r="AT363" s="948">
        <f t="shared" si="861"/>
        <v>65.25</v>
      </c>
      <c r="AU363" s="948">
        <f t="shared" si="862"/>
        <v>43.5</v>
      </c>
      <c r="AV363" s="948">
        <f t="shared" si="863"/>
        <v>51.2</v>
      </c>
      <c r="AW363" s="948">
        <f t="shared" si="864"/>
        <v>51.2</v>
      </c>
      <c r="AX363" s="948">
        <f t="shared" si="865"/>
        <v>65.25</v>
      </c>
      <c r="AY363" s="948">
        <f t="shared" si="866"/>
        <v>43.5</v>
      </c>
      <c r="AZ363" s="948">
        <f t="shared" si="867"/>
        <v>363.80399999999997</v>
      </c>
      <c r="BA363" s="948">
        <f t="shared" si="868"/>
        <v>0</v>
      </c>
      <c r="BB363" s="948">
        <f t="shared" si="869"/>
        <v>0</v>
      </c>
      <c r="BC363" s="957">
        <f t="shared" si="870"/>
        <v>3.8541666666666665</v>
      </c>
      <c r="BD363" s="957">
        <f t="shared" si="870"/>
        <v>3.8541666666666665</v>
      </c>
      <c r="BE363" s="957">
        <f t="shared" si="870"/>
        <v>3.8541666666666665</v>
      </c>
      <c r="BF363" s="957">
        <f t="shared" si="870"/>
        <v>3.8541666666666665</v>
      </c>
      <c r="BG363" s="957">
        <f t="shared" si="870"/>
        <v>3.8541666666666665</v>
      </c>
      <c r="BH363" s="957">
        <f t="shared" si="870"/>
        <v>3.8541666666666665</v>
      </c>
      <c r="BI363" s="957">
        <f t="shared" si="870"/>
        <v>0.39466666666666667</v>
      </c>
      <c r="BJ363" s="957">
        <f t="shared" si="870"/>
        <v>0</v>
      </c>
      <c r="BK363" s="957">
        <f t="shared" si="870"/>
        <v>0</v>
      </c>
      <c r="BL363" s="948">
        <f t="shared" si="871"/>
        <v>251.484375</v>
      </c>
      <c r="BM363" s="948">
        <f t="shared" si="871"/>
        <v>167.65625</v>
      </c>
      <c r="BN363" s="948">
        <f t="shared" si="871"/>
        <v>197.33333333333334</v>
      </c>
      <c r="BO363" s="948">
        <f t="shared" si="871"/>
        <v>197.33333333333334</v>
      </c>
      <c r="BP363" s="948">
        <f t="shared" si="871"/>
        <v>251.484375</v>
      </c>
      <c r="BQ363" s="948">
        <f t="shared" si="871"/>
        <v>167.65625</v>
      </c>
      <c r="BR363" s="948">
        <f t="shared" si="871"/>
        <v>143.581312</v>
      </c>
      <c r="BS363" s="948">
        <f t="shared" si="872"/>
        <v>0</v>
      </c>
      <c r="BT363" s="955">
        <f t="shared" si="873"/>
        <v>360.72568885394833</v>
      </c>
    </row>
    <row r="364" spans="1:72">
      <c r="A364" s="952">
        <v>5</v>
      </c>
      <c r="B364" s="952" t="s">
        <v>1173</v>
      </c>
      <c r="C364" s="950" t="s">
        <v>1174</v>
      </c>
      <c r="D364" s="950">
        <v>1</v>
      </c>
      <c r="E364" s="950">
        <v>1</v>
      </c>
      <c r="F364" s="948">
        <v>5.4</v>
      </c>
      <c r="G364" s="948">
        <v>0.3</v>
      </c>
      <c r="H364" s="948">
        <v>0.65</v>
      </c>
      <c r="I364" s="948">
        <v>0.12</v>
      </c>
      <c r="J364" s="948">
        <f t="shared" si="847"/>
        <v>0.53</v>
      </c>
      <c r="K364" s="948">
        <f t="shared" si="874"/>
        <v>0.85860000000000014</v>
      </c>
      <c r="L364" s="948">
        <f t="shared" si="875"/>
        <v>5.7240000000000011</v>
      </c>
      <c r="M364" s="952"/>
      <c r="N364" s="950">
        <v>16</v>
      </c>
      <c r="O364" s="950">
        <v>16</v>
      </c>
      <c r="P364" s="950">
        <v>16</v>
      </c>
      <c r="Q364" s="950">
        <v>16</v>
      </c>
      <c r="R364" s="950">
        <v>16</v>
      </c>
      <c r="S364" s="950">
        <v>16</v>
      </c>
      <c r="T364" s="950">
        <v>8</v>
      </c>
      <c r="U364" s="950"/>
      <c r="V364" s="950"/>
      <c r="W364" s="950">
        <v>200</v>
      </c>
      <c r="X364" s="950">
        <v>100</v>
      </c>
      <c r="Y364" s="950">
        <v>100</v>
      </c>
      <c r="Z364" s="950">
        <v>9</v>
      </c>
      <c r="AA364" s="950">
        <v>6</v>
      </c>
      <c r="AB364" s="950">
        <v>4</v>
      </c>
      <c r="AC364" s="950">
        <v>4</v>
      </c>
      <c r="AD364" s="950">
        <v>9</v>
      </c>
      <c r="AE364" s="950">
        <v>6</v>
      </c>
      <c r="AF364" s="955">
        <f t="shared" si="849"/>
        <v>7.75</v>
      </c>
      <c r="AG364" s="955">
        <f t="shared" si="850"/>
        <v>28</v>
      </c>
      <c r="AH364" s="955">
        <f t="shared" si="851"/>
        <v>14.5</v>
      </c>
      <c r="AI364" s="955">
        <v>0</v>
      </c>
      <c r="AJ364" s="955">
        <v>0</v>
      </c>
      <c r="AK364" s="948">
        <f t="shared" si="852"/>
        <v>2.1500000000000004</v>
      </c>
      <c r="AL364" s="948">
        <f t="shared" si="853"/>
        <v>2.1500000000000004</v>
      </c>
      <c r="AM364" s="948">
        <f t="shared" si="854"/>
        <v>3.2120000000000002</v>
      </c>
      <c r="AN364" s="948">
        <f t="shared" si="855"/>
        <v>3.2120000000000002</v>
      </c>
      <c r="AO364" s="948">
        <f t="shared" si="856"/>
        <v>2.1500000000000004</v>
      </c>
      <c r="AP364" s="948">
        <f t="shared" si="857"/>
        <v>2.1500000000000004</v>
      </c>
      <c r="AQ364" s="948">
        <f t="shared" si="858"/>
        <v>1.708</v>
      </c>
      <c r="AR364" s="948">
        <f t="shared" si="859"/>
        <v>0</v>
      </c>
      <c r="AS364" s="948">
        <f t="shared" si="860"/>
        <v>0</v>
      </c>
      <c r="AT364" s="948">
        <f t="shared" si="861"/>
        <v>19.350000000000001</v>
      </c>
      <c r="AU364" s="948">
        <f t="shared" si="862"/>
        <v>12.900000000000002</v>
      </c>
      <c r="AV364" s="948">
        <f t="shared" si="863"/>
        <v>12.848000000000001</v>
      </c>
      <c r="AW364" s="948">
        <f t="shared" si="864"/>
        <v>12.848000000000001</v>
      </c>
      <c r="AX364" s="948">
        <f t="shared" si="865"/>
        <v>19.350000000000001</v>
      </c>
      <c r="AY364" s="948">
        <f t="shared" si="866"/>
        <v>12.900000000000002</v>
      </c>
      <c r="AZ364" s="948">
        <f t="shared" si="867"/>
        <v>85.826999999999998</v>
      </c>
      <c r="BA364" s="948">
        <f t="shared" si="868"/>
        <v>0</v>
      </c>
      <c r="BB364" s="948">
        <f t="shared" si="869"/>
        <v>0</v>
      </c>
      <c r="BC364" s="957">
        <f t="shared" si="870"/>
        <v>1.5786666666666667</v>
      </c>
      <c r="BD364" s="957">
        <f t="shared" si="870"/>
        <v>1.5786666666666667</v>
      </c>
      <c r="BE364" s="957">
        <f t="shared" si="870"/>
        <v>1.5786666666666667</v>
      </c>
      <c r="BF364" s="957">
        <f t="shared" si="870"/>
        <v>1.5786666666666667</v>
      </c>
      <c r="BG364" s="957">
        <f t="shared" si="870"/>
        <v>1.5786666666666667</v>
      </c>
      <c r="BH364" s="957">
        <f t="shared" si="870"/>
        <v>1.5786666666666667</v>
      </c>
      <c r="BI364" s="957">
        <f t="shared" si="870"/>
        <v>0.39466666666666667</v>
      </c>
      <c r="BJ364" s="957">
        <f t="shared" si="870"/>
        <v>0</v>
      </c>
      <c r="BK364" s="957">
        <f t="shared" si="870"/>
        <v>0</v>
      </c>
      <c r="BL364" s="948">
        <f t="shared" si="871"/>
        <v>30.547200000000004</v>
      </c>
      <c r="BM364" s="948">
        <f t="shared" si="871"/>
        <v>20.364800000000002</v>
      </c>
      <c r="BN364" s="948">
        <f t="shared" si="871"/>
        <v>20.282709333333333</v>
      </c>
      <c r="BO364" s="948">
        <f t="shared" si="871"/>
        <v>20.282709333333333</v>
      </c>
      <c r="BP364" s="948">
        <f t="shared" si="871"/>
        <v>30.547200000000004</v>
      </c>
      <c r="BQ364" s="948">
        <f t="shared" si="871"/>
        <v>20.364800000000002</v>
      </c>
      <c r="BR364" s="948">
        <f t="shared" si="871"/>
        <v>33.873055999999998</v>
      </c>
      <c r="BS364" s="948">
        <f t="shared" si="872"/>
        <v>0</v>
      </c>
      <c r="BT364" s="955">
        <f t="shared" si="873"/>
        <v>205.29055982607341</v>
      </c>
    </row>
    <row r="365" spans="1:72">
      <c r="A365" s="952">
        <v>6</v>
      </c>
      <c r="B365" s="952" t="s">
        <v>1192</v>
      </c>
      <c r="C365" s="950" t="s">
        <v>1193</v>
      </c>
      <c r="D365" s="950">
        <v>1</v>
      </c>
      <c r="E365" s="950">
        <v>1</v>
      </c>
      <c r="F365" s="948">
        <v>14</v>
      </c>
      <c r="G365" s="948">
        <v>0.3</v>
      </c>
      <c r="H365" s="948">
        <v>0.7</v>
      </c>
      <c r="I365" s="948">
        <v>0.12</v>
      </c>
      <c r="J365" s="948">
        <f t="shared" si="847"/>
        <v>0.57999999999999996</v>
      </c>
      <c r="K365" s="948">
        <f t="shared" si="874"/>
        <v>2.4359999999999999</v>
      </c>
      <c r="L365" s="948">
        <f t="shared" si="875"/>
        <v>16.239999999999998</v>
      </c>
      <c r="M365" s="952"/>
      <c r="N365" s="950">
        <v>25</v>
      </c>
      <c r="O365" s="950">
        <v>25</v>
      </c>
      <c r="P365" s="950">
        <v>25</v>
      </c>
      <c r="Q365" s="950">
        <v>25</v>
      </c>
      <c r="R365" s="950">
        <v>25</v>
      </c>
      <c r="S365" s="950">
        <v>25</v>
      </c>
      <c r="T365" s="950">
        <v>8</v>
      </c>
      <c r="U365" s="950"/>
      <c r="V365" s="950"/>
      <c r="W365" s="950">
        <v>200</v>
      </c>
      <c r="X365" s="950">
        <v>100</v>
      </c>
      <c r="Y365" s="950">
        <v>100</v>
      </c>
      <c r="Z365" s="950">
        <v>9</v>
      </c>
      <c r="AA365" s="950">
        <v>6</v>
      </c>
      <c r="AB365" s="950">
        <v>4</v>
      </c>
      <c r="AC365" s="950">
        <v>4</v>
      </c>
      <c r="AD365" s="950">
        <v>9</v>
      </c>
      <c r="AE365" s="950">
        <v>6</v>
      </c>
      <c r="AF365" s="955">
        <f t="shared" si="849"/>
        <v>18.5</v>
      </c>
      <c r="AG365" s="955">
        <f t="shared" si="850"/>
        <v>71</v>
      </c>
      <c r="AH365" s="955">
        <f t="shared" si="851"/>
        <v>36</v>
      </c>
      <c r="AI365" s="955">
        <v>0</v>
      </c>
      <c r="AJ365" s="955">
        <v>0</v>
      </c>
      <c r="AK365" s="948">
        <f t="shared" si="852"/>
        <v>4.75</v>
      </c>
      <c r="AL365" s="948">
        <f t="shared" si="853"/>
        <v>4.75</v>
      </c>
      <c r="AM365" s="948">
        <f t="shared" si="854"/>
        <v>7.8</v>
      </c>
      <c r="AN365" s="948">
        <f t="shared" si="855"/>
        <v>7.8</v>
      </c>
      <c r="AO365" s="948">
        <f t="shared" si="856"/>
        <v>4.75</v>
      </c>
      <c r="AP365" s="948">
        <f t="shared" si="857"/>
        <v>4.75</v>
      </c>
      <c r="AQ365" s="948">
        <f t="shared" si="858"/>
        <v>1.8080000000000001</v>
      </c>
      <c r="AR365" s="948">
        <f t="shared" si="859"/>
        <v>0</v>
      </c>
      <c r="AS365" s="948">
        <f t="shared" si="860"/>
        <v>0</v>
      </c>
      <c r="AT365" s="948">
        <f t="shared" si="861"/>
        <v>42.75</v>
      </c>
      <c r="AU365" s="948">
        <f t="shared" si="862"/>
        <v>28.5</v>
      </c>
      <c r="AV365" s="948">
        <f t="shared" si="863"/>
        <v>31.2</v>
      </c>
      <c r="AW365" s="948">
        <f t="shared" si="864"/>
        <v>31.2</v>
      </c>
      <c r="AX365" s="948">
        <f t="shared" si="865"/>
        <v>42.75</v>
      </c>
      <c r="AY365" s="948">
        <f t="shared" si="866"/>
        <v>28.5</v>
      </c>
      <c r="AZ365" s="948">
        <f t="shared" si="867"/>
        <v>226.904</v>
      </c>
      <c r="BA365" s="948">
        <f t="shared" si="868"/>
        <v>0</v>
      </c>
      <c r="BB365" s="948">
        <f t="shared" si="869"/>
        <v>0</v>
      </c>
      <c r="BC365" s="957">
        <f t="shared" si="870"/>
        <v>3.8541666666666665</v>
      </c>
      <c r="BD365" s="957">
        <f t="shared" si="870"/>
        <v>3.8541666666666665</v>
      </c>
      <c r="BE365" s="957">
        <f t="shared" si="870"/>
        <v>3.8541666666666665</v>
      </c>
      <c r="BF365" s="957">
        <f t="shared" si="870"/>
        <v>3.8541666666666665</v>
      </c>
      <c r="BG365" s="957">
        <f t="shared" si="870"/>
        <v>3.8541666666666665</v>
      </c>
      <c r="BH365" s="957">
        <f t="shared" si="870"/>
        <v>3.8541666666666665</v>
      </c>
      <c r="BI365" s="957">
        <f t="shared" si="870"/>
        <v>0.39466666666666667</v>
      </c>
      <c r="BJ365" s="957">
        <f t="shared" si="870"/>
        <v>0</v>
      </c>
      <c r="BK365" s="957">
        <f t="shared" si="870"/>
        <v>0</v>
      </c>
      <c r="BL365" s="948">
        <f t="shared" si="871"/>
        <v>164.765625</v>
      </c>
      <c r="BM365" s="948">
        <f t="shared" si="871"/>
        <v>109.84375</v>
      </c>
      <c r="BN365" s="948">
        <f t="shared" si="871"/>
        <v>120.24999999999999</v>
      </c>
      <c r="BO365" s="948">
        <f t="shared" si="871"/>
        <v>120.24999999999999</v>
      </c>
      <c r="BP365" s="948">
        <f t="shared" si="871"/>
        <v>164.765625</v>
      </c>
      <c r="BQ365" s="948">
        <f t="shared" si="871"/>
        <v>109.84375</v>
      </c>
      <c r="BR365" s="948">
        <f t="shared" si="871"/>
        <v>89.551445333333334</v>
      </c>
      <c r="BS365" s="948">
        <f t="shared" si="872"/>
        <v>0</v>
      </c>
      <c r="BT365" s="955">
        <f t="shared" si="873"/>
        <v>360.94835604816637</v>
      </c>
    </row>
    <row r="366" spans="1:72">
      <c r="A366" s="952">
        <v>7</v>
      </c>
      <c r="B366" s="952" t="s">
        <v>1177</v>
      </c>
      <c r="C366" s="950" t="s">
        <v>1099</v>
      </c>
      <c r="D366" s="950">
        <v>1</v>
      </c>
      <c r="E366" s="950">
        <v>1</v>
      </c>
      <c r="F366" s="948">
        <v>4.75</v>
      </c>
      <c r="G366" s="948">
        <v>0.25</v>
      </c>
      <c r="H366" s="948">
        <v>0.6</v>
      </c>
      <c r="I366" s="948">
        <v>0.12</v>
      </c>
      <c r="J366" s="948">
        <v>0.48</v>
      </c>
      <c r="K366" s="948">
        <v>0.64800000000000002</v>
      </c>
      <c r="L366" s="948">
        <v>5.1840000000000002</v>
      </c>
      <c r="M366" s="952"/>
      <c r="N366" s="950">
        <v>16</v>
      </c>
      <c r="O366" s="950">
        <v>16</v>
      </c>
      <c r="P366" s="950">
        <v>16</v>
      </c>
      <c r="Q366" s="950">
        <v>16</v>
      </c>
      <c r="R366" s="950">
        <v>16</v>
      </c>
      <c r="S366" s="950">
        <v>16</v>
      </c>
      <c r="T366" s="950">
        <v>8</v>
      </c>
      <c r="U366" s="950"/>
      <c r="V366" s="950"/>
      <c r="W366" s="950">
        <v>200</v>
      </c>
      <c r="X366" s="950">
        <v>100</v>
      </c>
      <c r="Y366" s="950">
        <v>100</v>
      </c>
      <c r="Z366" s="950">
        <v>9</v>
      </c>
      <c r="AA366" s="950">
        <v>6</v>
      </c>
      <c r="AB366" s="950">
        <v>4</v>
      </c>
      <c r="AC366" s="950">
        <v>4</v>
      </c>
      <c r="AD366" s="950">
        <v>9</v>
      </c>
      <c r="AE366" s="950">
        <v>6</v>
      </c>
      <c r="AF366" s="955">
        <v>7.75</v>
      </c>
      <c r="AG366" s="955">
        <v>28</v>
      </c>
      <c r="AH366" s="955">
        <v>14.5</v>
      </c>
      <c r="AI366" s="955">
        <v>0</v>
      </c>
      <c r="AJ366" s="955">
        <v>0</v>
      </c>
      <c r="AK366" s="948">
        <v>2.1500000000000004</v>
      </c>
      <c r="AL366" s="948">
        <v>2.1500000000000004</v>
      </c>
      <c r="AM366" s="948">
        <v>3.2120000000000002</v>
      </c>
      <c r="AN366" s="948">
        <v>3.2120000000000002</v>
      </c>
      <c r="AO366" s="948">
        <v>2.1500000000000004</v>
      </c>
      <c r="AP366" s="948">
        <v>2.1500000000000004</v>
      </c>
      <c r="AQ366" s="948">
        <v>1.508</v>
      </c>
      <c r="AR366" s="948">
        <v>0</v>
      </c>
      <c r="AS366" s="948">
        <v>0</v>
      </c>
      <c r="AT366" s="948">
        <v>19.350000000000001</v>
      </c>
      <c r="AU366" s="948">
        <v>12.900000000000002</v>
      </c>
      <c r="AV366" s="948">
        <v>12.848000000000001</v>
      </c>
      <c r="AW366" s="948">
        <v>12.848000000000001</v>
      </c>
      <c r="AX366" s="948">
        <v>19.350000000000001</v>
      </c>
      <c r="AY366" s="948">
        <v>12.900000000000002</v>
      </c>
      <c r="AZ366" s="948">
        <v>75.777000000000001</v>
      </c>
      <c r="BA366" s="948">
        <v>0</v>
      </c>
      <c r="BB366" s="948">
        <v>0</v>
      </c>
      <c r="BC366" s="957">
        <v>1.5786666666666667</v>
      </c>
      <c r="BD366" s="957">
        <v>1.5786666666666667</v>
      </c>
      <c r="BE366" s="957">
        <v>1.5786666666666667</v>
      </c>
      <c r="BF366" s="957">
        <v>1.5786666666666667</v>
      </c>
      <c r="BG366" s="957">
        <v>1.5786666666666667</v>
      </c>
      <c r="BH366" s="957">
        <v>1.5786666666666667</v>
      </c>
      <c r="BI366" s="957">
        <v>0.39466666666666667</v>
      </c>
      <c r="BJ366" s="957">
        <v>0</v>
      </c>
      <c r="BK366" s="957">
        <v>0</v>
      </c>
      <c r="BL366" s="948">
        <v>30.547200000000004</v>
      </c>
      <c r="BM366" s="948">
        <v>20.364800000000002</v>
      </c>
      <c r="BN366" s="948">
        <v>20.282709333333333</v>
      </c>
      <c r="BO366" s="948">
        <v>20.282709333333333</v>
      </c>
      <c r="BP366" s="948">
        <v>30.547200000000004</v>
      </c>
      <c r="BQ366" s="948">
        <v>20.364800000000002</v>
      </c>
      <c r="BR366" s="948">
        <v>29.906656000000002</v>
      </c>
      <c r="BS366" s="948">
        <v>0</v>
      </c>
      <c r="BT366" s="955">
        <v>265.88900411522633</v>
      </c>
    </row>
    <row r="367" spans="1:72">
      <c r="A367" s="952">
        <v>8</v>
      </c>
      <c r="B367" s="952" t="s">
        <v>1179</v>
      </c>
      <c r="C367" s="950" t="s">
        <v>1125</v>
      </c>
      <c r="D367" s="950">
        <v>1</v>
      </c>
      <c r="E367" s="950">
        <v>1</v>
      </c>
      <c r="F367" s="948">
        <v>8</v>
      </c>
      <c r="G367" s="948">
        <v>0.3</v>
      </c>
      <c r="H367" s="948">
        <v>0.65</v>
      </c>
      <c r="I367" s="948">
        <v>0.12</v>
      </c>
      <c r="J367" s="948">
        <f t="shared" ref="J367:J370" si="876">H367-I367</f>
        <v>0.53</v>
      </c>
      <c r="K367" s="948">
        <f t="shared" ref="K367:K370" si="877">F367*G367*J367*D367*E367</f>
        <v>1.272</v>
      </c>
      <c r="L367" s="948">
        <f t="shared" ref="L367:L370" si="878">(2*J367)*F367*E367*D367</f>
        <v>8.48</v>
      </c>
      <c r="M367" s="952"/>
      <c r="N367" s="950">
        <v>16</v>
      </c>
      <c r="O367" s="950">
        <v>16</v>
      </c>
      <c r="P367" s="950">
        <v>16</v>
      </c>
      <c r="Q367" s="950">
        <v>16</v>
      </c>
      <c r="R367" s="950">
        <v>16</v>
      </c>
      <c r="S367" s="950">
        <v>16</v>
      </c>
      <c r="T367" s="950">
        <v>8</v>
      </c>
      <c r="U367" s="950"/>
      <c r="V367" s="950"/>
      <c r="W367" s="950">
        <v>200</v>
      </c>
      <c r="X367" s="950">
        <v>100</v>
      </c>
      <c r="Y367" s="950">
        <v>100</v>
      </c>
      <c r="Z367" s="950">
        <v>9</v>
      </c>
      <c r="AA367" s="950">
        <v>6</v>
      </c>
      <c r="AB367" s="950">
        <v>4</v>
      </c>
      <c r="AC367" s="950">
        <v>4</v>
      </c>
      <c r="AD367" s="950">
        <v>9</v>
      </c>
      <c r="AE367" s="950">
        <v>6</v>
      </c>
      <c r="AF367" s="955">
        <f t="shared" ref="AF367:AF370" si="879">(F367/4)/(W367/1000)+1</f>
        <v>11</v>
      </c>
      <c r="AG367" s="955">
        <f t="shared" ref="AG367:AG370" si="880">(F367/2)/(X367/1000)+1</f>
        <v>41</v>
      </c>
      <c r="AH367" s="955">
        <f t="shared" ref="AH367:AH370" si="881">(F367/4)/(Y367/1000)+1</f>
        <v>21</v>
      </c>
      <c r="AI367" s="955">
        <v>0</v>
      </c>
      <c r="AJ367" s="955">
        <v>0</v>
      </c>
      <c r="AK367" s="948">
        <f t="shared" ref="AK367:AK370" si="882">(F367/4)+(20*N367/1000)+(10*N367/1000)+(8*N367/1000)+(6*2*N367/1000)</f>
        <v>2.8000000000000003</v>
      </c>
      <c r="AL367" s="948">
        <f t="shared" ref="AL367:AL370" si="883">(F367/4)+(20*O367/1000)+(10*O367/1000)+(8*O367/1000)+(6*2*O367/1000)</f>
        <v>2.8000000000000003</v>
      </c>
      <c r="AM367" s="948">
        <f t="shared" ref="AM367:AM370" si="884">(F367/2)+(20*P367/1000)+(6*2*P367/1000)</f>
        <v>4.5120000000000005</v>
      </c>
      <c r="AN367" s="948">
        <f t="shared" ref="AN367:AN370" si="885">(F367/2)+(20*Q367/1000)+(6*2*Q367/1000)</f>
        <v>4.5120000000000005</v>
      </c>
      <c r="AO367" s="948">
        <f t="shared" ref="AO367:AO370" si="886">(F367/4)+(20*R367/1000)+(10*R367/1000)+(8*R367/1000)+(6*2*R367/1000)</f>
        <v>2.8000000000000003</v>
      </c>
      <c r="AP367" s="948">
        <f t="shared" ref="AP367:AP370" si="887">(F367/4)+(20*S367/1000)+(10*S367/1000)+(8*S367/1000)+(6*2*S367/1000)</f>
        <v>2.8000000000000003</v>
      </c>
      <c r="AQ367" s="948">
        <f t="shared" ref="AQ367:AQ370" si="888">(2*G367)+(2*H367)+(6*T367/1000)-(8*0.03)</f>
        <v>1.708</v>
      </c>
      <c r="AR367" s="948">
        <f t="shared" ref="AR367:AR370" si="889">((H367)+(2*6*U367/1000)-(2*0.03))*AI367</f>
        <v>0</v>
      </c>
      <c r="AS367" s="948">
        <f t="shared" ref="AS367:AS370" si="890">((G367)+(2*6*V367/1000)-(2*0.03))*AJ367</f>
        <v>0</v>
      </c>
      <c r="AT367" s="948">
        <f t="shared" ref="AT367:AT370" si="891">AK367*Z367*E367*D367</f>
        <v>25.200000000000003</v>
      </c>
      <c r="AU367" s="948">
        <f t="shared" ref="AU367:AU370" si="892">AL367*AA367*E367*D367</f>
        <v>16.8</v>
      </c>
      <c r="AV367" s="948">
        <f t="shared" ref="AV367:AV370" si="893">AM367*AB367*E367*D367</f>
        <v>18.048000000000002</v>
      </c>
      <c r="AW367" s="948">
        <f t="shared" ref="AW367:AW370" si="894">AN367*AC367*E367*D367</f>
        <v>18.048000000000002</v>
      </c>
      <c r="AX367" s="948">
        <f t="shared" ref="AX367:AX370" si="895">AO367*AD367*E367*D367</f>
        <v>25.200000000000003</v>
      </c>
      <c r="AY367" s="948">
        <f t="shared" ref="AY367:AY370" si="896">AP367*AE367*E367*D367</f>
        <v>16.8</v>
      </c>
      <c r="AZ367" s="948">
        <f t="shared" ref="AZ367:AZ370" si="897">AQ367*(AF367+AG367+AH367)*E367*D367</f>
        <v>124.684</v>
      </c>
      <c r="BA367" s="948">
        <f t="shared" ref="BA367:BA370" si="898">AR367*(AF367+AG367+AH367)*E367*D367</f>
        <v>0</v>
      </c>
      <c r="BB367" s="948">
        <f t="shared" ref="BB367:BB370" si="899">AS367*(AF367+AG367+AH367)*E367*D367</f>
        <v>0</v>
      </c>
      <c r="BC367" s="957">
        <f t="shared" ref="BC367:BK370" si="900">N367*N367*0.074/12</f>
        <v>1.5786666666666667</v>
      </c>
      <c r="BD367" s="957">
        <f t="shared" si="900"/>
        <v>1.5786666666666667</v>
      </c>
      <c r="BE367" s="957">
        <f t="shared" si="900"/>
        <v>1.5786666666666667</v>
      </c>
      <c r="BF367" s="957">
        <f t="shared" si="900"/>
        <v>1.5786666666666667</v>
      </c>
      <c r="BG367" s="957">
        <f t="shared" si="900"/>
        <v>1.5786666666666667</v>
      </c>
      <c r="BH367" s="957">
        <f t="shared" si="900"/>
        <v>1.5786666666666667</v>
      </c>
      <c r="BI367" s="957">
        <f t="shared" si="900"/>
        <v>0.39466666666666667</v>
      </c>
      <c r="BJ367" s="957">
        <f t="shared" si="900"/>
        <v>0</v>
      </c>
      <c r="BK367" s="957">
        <f t="shared" si="900"/>
        <v>0</v>
      </c>
      <c r="BL367" s="948">
        <f t="shared" ref="BL367:BR370" si="901">AT367*BC367</f>
        <v>39.782400000000003</v>
      </c>
      <c r="BM367" s="948">
        <f t="shared" si="901"/>
        <v>26.521599999999999</v>
      </c>
      <c r="BN367" s="948">
        <f t="shared" si="901"/>
        <v>28.491776000000002</v>
      </c>
      <c r="BO367" s="948">
        <f t="shared" si="901"/>
        <v>28.491776000000002</v>
      </c>
      <c r="BP367" s="948">
        <f t="shared" si="901"/>
        <v>39.782400000000003</v>
      </c>
      <c r="BQ367" s="948">
        <f t="shared" si="901"/>
        <v>26.521599999999999</v>
      </c>
      <c r="BR367" s="948">
        <f t="shared" si="901"/>
        <v>49.208618666666666</v>
      </c>
      <c r="BS367" s="948">
        <f>BB367*BK367</f>
        <v>0</v>
      </c>
      <c r="BT367" s="955">
        <f>SUM(BL367:BS367)/K367</f>
        <v>187.73598322851154</v>
      </c>
    </row>
    <row r="368" spans="1:72">
      <c r="A368" s="952">
        <v>9</v>
      </c>
      <c r="B368" s="952" t="s">
        <v>1180</v>
      </c>
      <c r="C368" s="950" t="s">
        <v>1127</v>
      </c>
      <c r="D368" s="950">
        <v>1</v>
      </c>
      <c r="E368" s="950">
        <v>1</v>
      </c>
      <c r="F368" s="948">
        <v>8.4</v>
      </c>
      <c r="G368" s="948">
        <v>0.3</v>
      </c>
      <c r="H368" s="948">
        <v>0.65</v>
      </c>
      <c r="I368" s="948">
        <v>0.12</v>
      </c>
      <c r="J368" s="948">
        <f t="shared" si="876"/>
        <v>0.53</v>
      </c>
      <c r="K368" s="948">
        <f t="shared" si="877"/>
        <v>1.3356000000000001</v>
      </c>
      <c r="L368" s="948">
        <f t="shared" si="878"/>
        <v>8.9040000000000017</v>
      </c>
      <c r="M368" s="952"/>
      <c r="N368" s="950">
        <v>16</v>
      </c>
      <c r="O368" s="950">
        <v>16</v>
      </c>
      <c r="P368" s="950">
        <v>16</v>
      </c>
      <c r="Q368" s="950">
        <v>16</v>
      </c>
      <c r="R368" s="950">
        <v>16</v>
      </c>
      <c r="S368" s="950">
        <v>16</v>
      </c>
      <c r="T368" s="950">
        <v>8</v>
      </c>
      <c r="U368" s="950"/>
      <c r="V368" s="950"/>
      <c r="W368" s="950">
        <v>200</v>
      </c>
      <c r="X368" s="950">
        <v>100</v>
      </c>
      <c r="Y368" s="950">
        <v>100</v>
      </c>
      <c r="Z368" s="950">
        <v>9</v>
      </c>
      <c r="AA368" s="950">
        <v>6</v>
      </c>
      <c r="AB368" s="950">
        <v>4</v>
      </c>
      <c r="AC368" s="950">
        <v>4</v>
      </c>
      <c r="AD368" s="950">
        <v>9</v>
      </c>
      <c r="AE368" s="950">
        <v>6</v>
      </c>
      <c r="AF368" s="955">
        <f t="shared" si="879"/>
        <v>11.5</v>
      </c>
      <c r="AG368" s="955">
        <f t="shared" si="880"/>
        <v>43</v>
      </c>
      <c r="AH368" s="955">
        <f t="shared" si="881"/>
        <v>22</v>
      </c>
      <c r="AI368" s="955">
        <v>0</v>
      </c>
      <c r="AJ368" s="955">
        <v>0</v>
      </c>
      <c r="AK368" s="948">
        <f t="shared" si="882"/>
        <v>2.9000000000000004</v>
      </c>
      <c r="AL368" s="948">
        <f t="shared" si="883"/>
        <v>2.9000000000000004</v>
      </c>
      <c r="AM368" s="948">
        <f t="shared" si="884"/>
        <v>4.7120000000000006</v>
      </c>
      <c r="AN368" s="948">
        <f t="shared" si="885"/>
        <v>4.7120000000000006</v>
      </c>
      <c r="AO368" s="948">
        <f t="shared" si="886"/>
        <v>2.9000000000000004</v>
      </c>
      <c r="AP368" s="948">
        <f t="shared" si="887"/>
        <v>2.9000000000000004</v>
      </c>
      <c r="AQ368" s="948">
        <f t="shared" si="888"/>
        <v>1.708</v>
      </c>
      <c r="AR368" s="948">
        <f t="shared" si="889"/>
        <v>0</v>
      </c>
      <c r="AS368" s="948">
        <f t="shared" si="890"/>
        <v>0</v>
      </c>
      <c r="AT368" s="948">
        <f t="shared" si="891"/>
        <v>26.1</v>
      </c>
      <c r="AU368" s="948">
        <f t="shared" si="892"/>
        <v>17.400000000000002</v>
      </c>
      <c r="AV368" s="948">
        <f t="shared" si="893"/>
        <v>18.848000000000003</v>
      </c>
      <c r="AW368" s="948">
        <f t="shared" si="894"/>
        <v>18.848000000000003</v>
      </c>
      <c r="AX368" s="948">
        <f t="shared" si="895"/>
        <v>26.1</v>
      </c>
      <c r="AY368" s="948">
        <f t="shared" si="896"/>
        <v>17.400000000000002</v>
      </c>
      <c r="AZ368" s="948">
        <f t="shared" si="897"/>
        <v>130.66200000000001</v>
      </c>
      <c r="BA368" s="948">
        <f t="shared" si="898"/>
        <v>0</v>
      </c>
      <c r="BB368" s="948">
        <f t="shared" si="899"/>
        <v>0</v>
      </c>
      <c r="BC368" s="957">
        <f t="shared" si="900"/>
        <v>1.5786666666666667</v>
      </c>
      <c r="BD368" s="957">
        <f t="shared" si="900"/>
        <v>1.5786666666666667</v>
      </c>
      <c r="BE368" s="957">
        <f t="shared" si="900"/>
        <v>1.5786666666666667</v>
      </c>
      <c r="BF368" s="957">
        <f t="shared" si="900"/>
        <v>1.5786666666666667</v>
      </c>
      <c r="BG368" s="957">
        <f t="shared" si="900"/>
        <v>1.5786666666666667</v>
      </c>
      <c r="BH368" s="957">
        <f t="shared" si="900"/>
        <v>1.5786666666666667</v>
      </c>
      <c r="BI368" s="957">
        <f t="shared" si="900"/>
        <v>0.39466666666666667</v>
      </c>
      <c r="BJ368" s="957">
        <f t="shared" si="900"/>
        <v>0</v>
      </c>
      <c r="BK368" s="957">
        <f t="shared" si="900"/>
        <v>0</v>
      </c>
      <c r="BL368" s="948">
        <f t="shared" si="901"/>
        <v>41.203200000000002</v>
      </c>
      <c r="BM368" s="948">
        <f t="shared" si="901"/>
        <v>27.468800000000002</v>
      </c>
      <c r="BN368" s="948">
        <f t="shared" si="901"/>
        <v>29.754709333333338</v>
      </c>
      <c r="BO368" s="948">
        <f t="shared" si="901"/>
        <v>29.754709333333338</v>
      </c>
      <c r="BP368" s="948">
        <f t="shared" si="901"/>
        <v>41.203200000000002</v>
      </c>
      <c r="BQ368" s="948">
        <f t="shared" si="901"/>
        <v>27.468800000000002</v>
      </c>
      <c r="BR368" s="948">
        <f t="shared" si="901"/>
        <v>51.567936000000003</v>
      </c>
      <c r="BS368" s="948">
        <f>BB368*BK368</f>
        <v>0</v>
      </c>
      <c r="BT368" s="955">
        <f>SUM(BL368:BS368)/K368</f>
        <v>185.99981631226916</v>
      </c>
    </row>
    <row r="369" spans="1:72">
      <c r="A369" s="952">
        <v>10</v>
      </c>
      <c r="B369" s="952" t="s">
        <v>1194</v>
      </c>
      <c r="C369" s="950" t="s">
        <v>1195</v>
      </c>
      <c r="D369" s="950">
        <v>1</v>
      </c>
      <c r="E369" s="950">
        <v>1</v>
      </c>
      <c r="F369" s="948">
        <v>12</v>
      </c>
      <c r="G369" s="948">
        <v>0.35</v>
      </c>
      <c r="H369" s="948">
        <v>0.8</v>
      </c>
      <c r="I369" s="948">
        <v>0.12</v>
      </c>
      <c r="J369" s="948">
        <f t="shared" si="876"/>
        <v>0.68</v>
      </c>
      <c r="K369" s="948">
        <f t="shared" si="877"/>
        <v>2.8559999999999999</v>
      </c>
      <c r="L369" s="948">
        <f t="shared" si="878"/>
        <v>16.32</v>
      </c>
      <c r="M369" s="952"/>
      <c r="N369" s="950">
        <v>25</v>
      </c>
      <c r="O369" s="950">
        <v>25</v>
      </c>
      <c r="P369" s="950">
        <v>25</v>
      </c>
      <c r="Q369" s="950">
        <v>25</v>
      </c>
      <c r="R369" s="950">
        <v>25</v>
      </c>
      <c r="S369" s="950">
        <v>25</v>
      </c>
      <c r="T369" s="950">
        <v>8</v>
      </c>
      <c r="U369" s="950"/>
      <c r="V369" s="950"/>
      <c r="W369" s="950">
        <v>200</v>
      </c>
      <c r="X369" s="950">
        <v>100</v>
      </c>
      <c r="Y369" s="950">
        <v>100</v>
      </c>
      <c r="Z369" s="950">
        <v>9</v>
      </c>
      <c r="AA369" s="950">
        <v>6</v>
      </c>
      <c r="AB369" s="950">
        <v>4</v>
      </c>
      <c r="AC369" s="950">
        <v>4</v>
      </c>
      <c r="AD369" s="950">
        <v>9</v>
      </c>
      <c r="AE369" s="950">
        <v>6</v>
      </c>
      <c r="AF369" s="955">
        <f t="shared" si="879"/>
        <v>16</v>
      </c>
      <c r="AG369" s="955">
        <f t="shared" si="880"/>
        <v>61</v>
      </c>
      <c r="AH369" s="955">
        <f t="shared" si="881"/>
        <v>31</v>
      </c>
      <c r="AI369" s="955">
        <v>0</v>
      </c>
      <c r="AJ369" s="955">
        <v>0</v>
      </c>
      <c r="AK369" s="948">
        <f t="shared" si="882"/>
        <v>4.25</v>
      </c>
      <c r="AL369" s="948">
        <f t="shared" si="883"/>
        <v>4.25</v>
      </c>
      <c r="AM369" s="948">
        <f t="shared" si="884"/>
        <v>6.8</v>
      </c>
      <c r="AN369" s="948">
        <f t="shared" si="885"/>
        <v>6.8</v>
      </c>
      <c r="AO369" s="948">
        <f t="shared" si="886"/>
        <v>4.25</v>
      </c>
      <c r="AP369" s="948">
        <f t="shared" si="887"/>
        <v>4.25</v>
      </c>
      <c r="AQ369" s="948">
        <f t="shared" si="888"/>
        <v>2.1079999999999997</v>
      </c>
      <c r="AR369" s="948">
        <f t="shared" si="889"/>
        <v>0</v>
      </c>
      <c r="AS369" s="948">
        <f t="shared" si="890"/>
        <v>0</v>
      </c>
      <c r="AT369" s="948">
        <f t="shared" si="891"/>
        <v>38.25</v>
      </c>
      <c r="AU369" s="948">
        <f t="shared" si="892"/>
        <v>25.5</v>
      </c>
      <c r="AV369" s="948">
        <f t="shared" si="893"/>
        <v>27.2</v>
      </c>
      <c r="AW369" s="948">
        <f t="shared" si="894"/>
        <v>27.2</v>
      </c>
      <c r="AX369" s="948">
        <f t="shared" si="895"/>
        <v>38.25</v>
      </c>
      <c r="AY369" s="948">
        <f t="shared" si="896"/>
        <v>25.5</v>
      </c>
      <c r="AZ369" s="948">
        <f t="shared" si="897"/>
        <v>227.66399999999996</v>
      </c>
      <c r="BA369" s="948">
        <f t="shared" si="898"/>
        <v>0</v>
      </c>
      <c r="BB369" s="948">
        <f t="shared" si="899"/>
        <v>0</v>
      </c>
      <c r="BC369" s="957">
        <f t="shared" si="900"/>
        <v>3.8541666666666665</v>
      </c>
      <c r="BD369" s="957">
        <f t="shared" si="900"/>
        <v>3.8541666666666665</v>
      </c>
      <c r="BE369" s="957">
        <f t="shared" si="900"/>
        <v>3.8541666666666665</v>
      </c>
      <c r="BF369" s="957">
        <f t="shared" si="900"/>
        <v>3.8541666666666665</v>
      </c>
      <c r="BG369" s="957">
        <f t="shared" si="900"/>
        <v>3.8541666666666665</v>
      </c>
      <c r="BH369" s="957">
        <f t="shared" si="900"/>
        <v>3.8541666666666665</v>
      </c>
      <c r="BI369" s="957">
        <f t="shared" si="900"/>
        <v>0.39466666666666667</v>
      </c>
      <c r="BJ369" s="957">
        <f t="shared" si="900"/>
        <v>0</v>
      </c>
      <c r="BK369" s="957">
        <f t="shared" si="900"/>
        <v>0</v>
      </c>
      <c r="BL369" s="948">
        <f t="shared" si="901"/>
        <v>147.421875</v>
      </c>
      <c r="BM369" s="948">
        <f t="shared" si="901"/>
        <v>98.28125</v>
      </c>
      <c r="BN369" s="948">
        <f t="shared" si="901"/>
        <v>104.83333333333333</v>
      </c>
      <c r="BO369" s="948">
        <f t="shared" si="901"/>
        <v>104.83333333333333</v>
      </c>
      <c r="BP369" s="948">
        <f t="shared" si="901"/>
        <v>147.421875</v>
      </c>
      <c r="BQ369" s="948">
        <f t="shared" si="901"/>
        <v>98.28125</v>
      </c>
      <c r="BR369" s="948">
        <f t="shared" si="901"/>
        <v>89.85139199999999</v>
      </c>
      <c r="BS369" s="948">
        <f>BB369*BK369</f>
        <v>0</v>
      </c>
      <c r="BT369" s="955">
        <f>SUM(BL369:BS369)/K369</f>
        <v>276.93428174603173</v>
      </c>
    </row>
    <row r="370" spans="1:72">
      <c r="A370" s="952">
        <v>11</v>
      </c>
      <c r="B370" s="952" t="s">
        <v>1196</v>
      </c>
      <c r="C370" s="950" t="s">
        <v>1197</v>
      </c>
      <c r="D370" s="950">
        <v>1</v>
      </c>
      <c r="E370" s="950">
        <v>1</v>
      </c>
      <c r="F370" s="948">
        <v>16</v>
      </c>
      <c r="G370" s="948">
        <v>0.3</v>
      </c>
      <c r="H370" s="948">
        <v>0.7</v>
      </c>
      <c r="I370" s="948">
        <v>0.12</v>
      </c>
      <c r="J370" s="948">
        <f t="shared" si="876"/>
        <v>0.57999999999999996</v>
      </c>
      <c r="K370" s="948">
        <f t="shared" si="877"/>
        <v>2.7839999999999998</v>
      </c>
      <c r="L370" s="948">
        <f t="shared" si="878"/>
        <v>18.559999999999999</v>
      </c>
      <c r="M370" s="952"/>
      <c r="N370" s="950">
        <v>16</v>
      </c>
      <c r="O370" s="950">
        <v>16</v>
      </c>
      <c r="P370" s="950">
        <v>16</v>
      </c>
      <c r="Q370" s="950">
        <v>16</v>
      </c>
      <c r="R370" s="950">
        <v>16</v>
      </c>
      <c r="S370" s="950">
        <v>16</v>
      </c>
      <c r="T370" s="950">
        <v>8</v>
      </c>
      <c r="U370" s="950"/>
      <c r="V370" s="950"/>
      <c r="W370" s="950">
        <v>200</v>
      </c>
      <c r="X370" s="950">
        <v>100</v>
      </c>
      <c r="Y370" s="950">
        <v>100</v>
      </c>
      <c r="Z370" s="950">
        <v>9</v>
      </c>
      <c r="AA370" s="950">
        <v>6</v>
      </c>
      <c r="AB370" s="950">
        <v>4</v>
      </c>
      <c r="AC370" s="950">
        <v>4</v>
      </c>
      <c r="AD370" s="950">
        <v>9</v>
      </c>
      <c r="AE370" s="950">
        <v>6</v>
      </c>
      <c r="AF370" s="955">
        <f t="shared" si="879"/>
        <v>21</v>
      </c>
      <c r="AG370" s="955">
        <f t="shared" si="880"/>
        <v>81</v>
      </c>
      <c r="AH370" s="955">
        <f t="shared" si="881"/>
        <v>41</v>
      </c>
      <c r="AI370" s="955">
        <v>0</v>
      </c>
      <c r="AJ370" s="955">
        <v>0</v>
      </c>
      <c r="AK370" s="948">
        <f t="shared" si="882"/>
        <v>4.8000000000000007</v>
      </c>
      <c r="AL370" s="948">
        <f t="shared" si="883"/>
        <v>4.8000000000000007</v>
      </c>
      <c r="AM370" s="948">
        <f t="shared" si="884"/>
        <v>8.5120000000000005</v>
      </c>
      <c r="AN370" s="948">
        <f t="shared" si="885"/>
        <v>8.5120000000000005</v>
      </c>
      <c r="AO370" s="948">
        <f t="shared" si="886"/>
        <v>4.8000000000000007</v>
      </c>
      <c r="AP370" s="948">
        <f t="shared" si="887"/>
        <v>4.8000000000000007</v>
      </c>
      <c r="AQ370" s="948">
        <f t="shared" si="888"/>
        <v>1.8080000000000001</v>
      </c>
      <c r="AR370" s="948">
        <f t="shared" si="889"/>
        <v>0</v>
      </c>
      <c r="AS370" s="948">
        <f t="shared" si="890"/>
        <v>0</v>
      </c>
      <c r="AT370" s="948">
        <f t="shared" si="891"/>
        <v>43.2</v>
      </c>
      <c r="AU370" s="948">
        <f t="shared" si="892"/>
        <v>28.800000000000004</v>
      </c>
      <c r="AV370" s="948">
        <f t="shared" si="893"/>
        <v>34.048000000000002</v>
      </c>
      <c r="AW370" s="948">
        <f t="shared" si="894"/>
        <v>34.048000000000002</v>
      </c>
      <c r="AX370" s="948">
        <f t="shared" si="895"/>
        <v>43.2</v>
      </c>
      <c r="AY370" s="948">
        <f t="shared" si="896"/>
        <v>28.800000000000004</v>
      </c>
      <c r="AZ370" s="948">
        <f t="shared" si="897"/>
        <v>258.54399999999998</v>
      </c>
      <c r="BA370" s="948">
        <f t="shared" si="898"/>
        <v>0</v>
      </c>
      <c r="BB370" s="948">
        <f t="shared" si="899"/>
        <v>0</v>
      </c>
      <c r="BC370" s="957">
        <f t="shared" si="900"/>
        <v>1.5786666666666667</v>
      </c>
      <c r="BD370" s="957">
        <f t="shared" si="900"/>
        <v>1.5786666666666667</v>
      </c>
      <c r="BE370" s="957">
        <f t="shared" si="900"/>
        <v>1.5786666666666667</v>
      </c>
      <c r="BF370" s="957">
        <f t="shared" si="900"/>
        <v>1.5786666666666667</v>
      </c>
      <c r="BG370" s="957">
        <f t="shared" si="900"/>
        <v>1.5786666666666667</v>
      </c>
      <c r="BH370" s="957">
        <f t="shared" si="900"/>
        <v>1.5786666666666667</v>
      </c>
      <c r="BI370" s="957">
        <f t="shared" si="900"/>
        <v>0.39466666666666667</v>
      </c>
      <c r="BJ370" s="957">
        <f t="shared" si="900"/>
        <v>0</v>
      </c>
      <c r="BK370" s="957">
        <f t="shared" si="900"/>
        <v>0</v>
      </c>
      <c r="BL370" s="948">
        <f t="shared" si="901"/>
        <v>68.198400000000007</v>
      </c>
      <c r="BM370" s="948">
        <f t="shared" si="901"/>
        <v>45.465600000000009</v>
      </c>
      <c r="BN370" s="948">
        <f t="shared" si="901"/>
        <v>53.750442666666672</v>
      </c>
      <c r="BO370" s="948">
        <f t="shared" si="901"/>
        <v>53.750442666666672</v>
      </c>
      <c r="BP370" s="948">
        <f t="shared" si="901"/>
        <v>68.198400000000007</v>
      </c>
      <c r="BQ370" s="948">
        <f t="shared" si="901"/>
        <v>45.465600000000009</v>
      </c>
      <c r="BR370" s="948">
        <f t="shared" si="901"/>
        <v>102.03869866666666</v>
      </c>
      <c r="BS370" s="948">
        <f>BB370*BK370</f>
        <v>0</v>
      </c>
      <c r="BT370" s="955">
        <f>SUM(BL370:BS370)/K370</f>
        <v>156.92082758620691</v>
      </c>
    </row>
    <row r="371" spans="1:72">
      <c r="A371" s="952"/>
      <c r="B371" s="952"/>
      <c r="C371" s="950"/>
      <c r="D371" s="950"/>
      <c r="E371" s="950"/>
      <c r="F371" s="948"/>
      <c r="G371" s="948"/>
      <c r="H371" s="948"/>
      <c r="I371" s="948"/>
      <c r="J371" s="948"/>
      <c r="K371" s="948">
        <f>SUM(K352:K370)</f>
        <v>68.524200000000022</v>
      </c>
      <c r="L371" s="948">
        <f>SUM(L352:L370)</f>
        <v>484.51200000000006</v>
      </c>
      <c r="M371" s="952"/>
      <c r="N371" s="950"/>
      <c r="O371" s="950"/>
      <c r="P371" s="950"/>
      <c r="Q371" s="950"/>
      <c r="R371" s="950"/>
      <c r="S371" s="950"/>
      <c r="T371" s="950"/>
      <c r="U371" s="950"/>
      <c r="V371" s="950"/>
      <c r="W371" s="950"/>
      <c r="X371" s="950"/>
      <c r="Y371" s="950"/>
      <c r="Z371" s="950"/>
      <c r="AA371" s="950"/>
      <c r="AB371" s="950"/>
      <c r="AC371" s="950"/>
      <c r="AD371" s="950"/>
      <c r="AE371" s="950"/>
      <c r="AF371" s="955"/>
      <c r="AG371" s="955"/>
      <c r="AH371" s="955"/>
      <c r="AI371" s="955"/>
      <c r="AJ371" s="955"/>
      <c r="AK371" s="948"/>
      <c r="AL371" s="948"/>
      <c r="AM371" s="948"/>
      <c r="AN371" s="948"/>
      <c r="AO371" s="948"/>
      <c r="AP371" s="948"/>
      <c r="AQ371" s="948"/>
      <c r="AR371" s="948"/>
      <c r="AS371" s="948"/>
      <c r="AT371" s="948"/>
      <c r="AU371" s="948"/>
      <c r="AV371" s="948"/>
      <c r="AW371" s="948"/>
      <c r="AX371" s="948"/>
      <c r="AY371" s="948"/>
      <c r="AZ371" s="948"/>
      <c r="BA371" s="948"/>
      <c r="BB371" s="948"/>
      <c r="BC371" s="957"/>
      <c r="BD371" s="957"/>
      <c r="BE371" s="957"/>
      <c r="BF371" s="957"/>
      <c r="BG371" s="957"/>
      <c r="BH371" s="957"/>
      <c r="BI371" s="957"/>
      <c r="BJ371" s="957"/>
      <c r="BK371" s="957"/>
      <c r="BL371" s="948"/>
      <c r="BM371" s="948"/>
      <c r="BN371" s="948"/>
      <c r="BO371" s="948"/>
      <c r="BP371" s="948"/>
      <c r="BQ371" s="948"/>
      <c r="BR371" s="948"/>
      <c r="BS371" s="948"/>
      <c r="BT371" s="955"/>
    </row>
    <row r="372" spans="1:72">
      <c r="A372" s="949" t="s">
        <v>66</v>
      </c>
      <c r="B372" s="949" t="s">
        <v>1050</v>
      </c>
      <c r="C372" s="949" t="s">
        <v>983</v>
      </c>
      <c r="D372" s="950" t="s">
        <v>1051</v>
      </c>
      <c r="E372" s="950" t="s">
        <v>1052</v>
      </c>
      <c r="F372" s="951" t="s">
        <v>984</v>
      </c>
      <c r="G372" s="951"/>
      <c r="H372" s="951"/>
      <c r="I372" s="948" t="s">
        <v>985</v>
      </c>
      <c r="J372" s="948" t="s">
        <v>1053</v>
      </c>
      <c r="K372" s="948" t="s">
        <v>392</v>
      </c>
      <c r="L372" s="948" t="s">
        <v>377</v>
      </c>
      <c r="M372" s="952"/>
      <c r="N372" s="949" t="s">
        <v>1054</v>
      </c>
      <c r="O372" s="949"/>
      <c r="P372" s="949"/>
      <c r="Q372" s="949"/>
      <c r="R372" s="949"/>
      <c r="S372" s="949"/>
      <c r="T372" s="949" t="s">
        <v>1055</v>
      </c>
      <c r="U372" s="949"/>
      <c r="V372" s="949"/>
      <c r="W372" s="949" t="s">
        <v>989</v>
      </c>
      <c r="X372" s="949"/>
      <c r="Y372" s="949"/>
      <c r="Z372" s="949" t="s">
        <v>1056</v>
      </c>
      <c r="AA372" s="949"/>
      <c r="AB372" s="949"/>
      <c r="AC372" s="949"/>
      <c r="AD372" s="949"/>
      <c r="AE372" s="949"/>
      <c r="AF372" s="953" t="s">
        <v>1057</v>
      </c>
      <c r="AG372" s="953"/>
      <c r="AH372" s="953"/>
      <c r="AI372" s="953"/>
      <c r="AJ372" s="953"/>
      <c r="AK372" s="951" t="s">
        <v>1058</v>
      </c>
      <c r="AL372" s="951"/>
      <c r="AM372" s="951"/>
      <c r="AN372" s="951"/>
      <c r="AO372" s="951"/>
      <c r="AP372" s="951"/>
      <c r="AQ372" s="951" t="s">
        <v>1059</v>
      </c>
      <c r="AR372" s="951"/>
      <c r="AS372" s="951"/>
      <c r="AT372" s="951" t="s">
        <v>1060</v>
      </c>
      <c r="AU372" s="951"/>
      <c r="AV372" s="951"/>
      <c r="AW372" s="951"/>
      <c r="AX372" s="951"/>
      <c r="AY372" s="951"/>
      <c r="AZ372" s="951" t="s">
        <v>1061</v>
      </c>
      <c r="BA372" s="951"/>
      <c r="BB372" s="951"/>
      <c r="BC372" s="954" t="s">
        <v>1062</v>
      </c>
      <c r="BD372" s="954"/>
      <c r="BE372" s="954"/>
      <c r="BF372" s="954"/>
      <c r="BG372" s="954"/>
      <c r="BH372" s="954"/>
      <c r="BI372" s="954" t="s">
        <v>996</v>
      </c>
      <c r="BJ372" s="954"/>
      <c r="BK372" s="954"/>
      <c r="BL372" s="951" t="s">
        <v>997</v>
      </c>
      <c r="BM372" s="951"/>
      <c r="BN372" s="951"/>
      <c r="BO372" s="951"/>
      <c r="BP372" s="951"/>
      <c r="BQ372" s="951"/>
      <c r="BR372" s="951"/>
      <c r="BS372" s="951"/>
      <c r="BT372" s="955" t="s">
        <v>998</v>
      </c>
    </row>
    <row r="373" spans="1:72">
      <c r="A373" s="949"/>
      <c r="B373" s="949"/>
      <c r="C373" s="949"/>
      <c r="D373" s="949" t="s">
        <v>1063</v>
      </c>
      <c r="E373" s="949" t="s">
        <v>391</v>
      </c>
      <c r="F373" s="948" t="s">
        <v>999</v>
      </c>
      <c r="G373" s="948" t="s">
        <v>1000</v>
      </c>
      <c r="H373" s="948" t="s">
        <v>1001</v>
      </c>
      <c r="I373" s="948" t="s">
        <v>1002</v>
      </c>
      <c r="J373" s="948" t="s">
        <v>1003</v>
      </c>
      <c r="K373" s="951" t="s">
        <v>1064</v>
      </c>
      <c r="L373" s="948"/>
      <c r="M373" s="952"/>
      <c r="N373" s="949" t="s">
        <v>1001</v>
      </c>
      <c r="O373" s="949"/>
      <c r="P373" s="949" t="s">
        <v>1000</v>
      </c>
      <c r="Q373" s="949"/>
      <c r="R373" s="949" t="s">
        <v>1001</v>
      </c>
      <c r="S373" s="949"/>
      <c r="T373" s="950" t="s">
        <v>1007</v>
      </c>
      <c r="U373" s="949" t="s">
        <v>1005</v>
      </c>
      <c r="V373" s="949"/>
      <c r="W373" s="949"/>
      <c r="X373" s="949" t="s">
        <v>1000</v>
      </c>
      <c r="Y373" s="949" t="s">
        <v>1001</v>
      </c>
      <c r="Z373" s="949" t="s">
        <v>1001</v>
      </c>
      <c r="AA373" s="949"/>
      <c r="AB373" s="949" t="s">
        <v>1000</v>
      </c>
      <c r="AC373" s="949"/>
      <c r="AD373" s="949" t="s">
        <v>1001</v>
      </c>
      <c r="AE373" s="949"/>
      <c r="AF373" s="953" t="s">
        <v>1004</v>
      </c>
      <c r="AG373" s="953"/>
      <c r="AH373" s="953"/>
      <c r="AI373" s="953" t="s">
        <v>1065</v>
      </c>
      <c r="AJ373" s="953"/>
      <c r="AK373" s="951" t="s">
        <v>1001</v>
      </c>
      <c r="AL373" s="951"/>
      <c r="AM373" s="951" t="s">
        <v>1000</v>
      </c>
      <c r="AN373" s="951"/>
      <c r="AO373" s="951" t="s">
        <v>1001</v>
      </c>
      <c r="AP373" s="951"/>
      <c r="AQ373" s="951" t="s">
        <v>1004</v>
      </c>
      <c r="AR373" s="951" t="s">
        <v>1005</v>
      </c>
      <c r="AS373" s="951"/>
      <c r="AT373" s="951" t="s">
        <v>1066</v>
      </c>
      <c r="AU373" s="951"/>
      <c r="AV373" s="951" t="s">
        <v>1000</v>
      </c>
      <c r="AW373" s="951"/>
      <c r="AX373" s="951" t="s">
        <v>1001</v>
      </c>
      <c r="AY373" s="951"/>
      <c r="AZ373" s="951" t="s">
        <v>1004</v>
      </c>
      <c r="BA373" s="951" t="s">
        <v>1005</v>
      </c>
      <c r="BB373" s="951"/>
      <c r="BC373" s="953" t="s">
        <v>1001</v>
      </c>
      <c r="BD373" s="953"/>
      <c r="BE373" s="953" t="s">
        <v>1000</v>
      </c>
      <c r="BF373" s="953"/>
      <c r="BG373" s="951" t="s">
        <v>1001</v>
      </c>
      <c r="BH373" s="951"/>
      <c r="BI373" s="956" t="s">
        <v>1004</v>
      </c>
      <c r="BJ373" s="954" t="s">
        <v>1005</v>
      </c>
      <c r="BK373" s="954"/>
      <c r="BL373" s="951" t="s">
        <v>1006</v>
      </c>
      <c r="BM373" s="951"/>
      <c r="BN373" s="951"/>
      <c r="BO373" s="951"/>
      <c r="BP373" s="951"/>
      <c r="BQ373" s="951"/>
      <c r="BR373" s="951" t="s">
        <v>1067</v>
      </c>
      <c r="BS373" s="951"/>
      <c r="BT373" s="953" t="s">
        <v>1068</v>
      </c>
    </row>
    <row r="374" spans="1:72">
      <c r="A374" s="949"/>
      <c r="B374" s="949"/>
      <c r="C374" s="949" t="s">
        <v>391</v>
      </c>
      <c r="D374" s="949"/>
      <c r="E374" s="949"/>
      <c r="F374" s="948" t="s">
        <v>1069</v>
      </c>
      <c r="G374" s="948" t="s">
        <v>1069</v>
      </c>
      <c r="H374" s="948" t="s">
        <v>1069</v>
      </c>
      <c r="I374" s="948" t="s">
        <v>1069</v>
      </c>
      <c r="J374" s="948" t="s">
        <v>1069</v>
      </c>
      <c r="K374" s="951"/>
      <c r="L374" s="948" t="s">
        <v>1070</v>
      </c>
      <c r="M374" s="952"/>
      <c r="N374" s="949"/>
      <c r="O374" s="949"/>
      <c r="P374" s="949"/>
      <c r="Q374" s="949"/>
      <c r="R374" s="949"/>
      <c r="S374" s="949"/>
      <c r="T374" s="950" t="s">
        <v>1071</v>
      </c>
      <c r="U374" s="950" t="s">
        <v>1012</v>
      </c>
      <c r="V374" s="950" t="s">
        <v>494</v>
      </c>
      <c r="W374" s="949"/>
      <c r="X374" s="949"/>
      <c r="Y374" s="949"/>
      <c r="Z374" s="949"/>
      <c r="AA374" s="949"/>
      <c r="AB374" s="949"/>
      <c r="AC374" s="949"/>
      <c r="AD374" s="949"/>
      <c r="AE374" s="949"/>
      <c r="AF374" s="955" t="s">
        <v>1001</v>
      </c>
      <c r="AG374" s="955" t="s">
        <v>1000</v>
      </c>
      <c r="AH374" s="955" t="s">
        <v>1001</v>
      </c>
      <c r="AI374" s="955" t="s">
        <v>1012</v>
      </c>
      <c r="AJ374" s="955" t="s">
        <v>494</v>
      </c>
      <c r="AK374" s="951"/>
      <c r="AL374" s="951"/>
      <c r="AM374" s="951"/>
      <c r="AN374" s="951"/>
      <c r="AO374" s="951"/>
      <c r="AP374" s="951"/>
      <c r="AQ374" s="951"/>
      <c r="AR374" s="948" t="s">
        <v>1012</v>
      </c>
      <c r="AS374" s="948" t="s">
        <v>494</v>
      </c>
      <c r="AT374" s="951"/>
      <c r="AU374" s="951"/>
      <c r="AV374" s="951"/>
      <c r="AW374" s="951"/>
      <c r="AX374" s="951"/>
      <c r="AY374" s="951"/>
      <c r="AZ374" s="951"/>
      <c r="BA374" s="948" t="s">
        <v>1012</v>
      </c>
      <c r="BB374" s="948" t="s">
        <v>494</v>
      </c>
      <c r="BC374" s="953"/>
      <c r="BD374" s="953"/>
      <c r="BE374" s="953"/>
      <c r="BF374" s="953"/>
      <c r="BG374" s="951"/>
      <c r="BH374" s="951"/>
      <c r="BI374" s="957"/>
      <c r="BJ374" s="957" t="s">
        <v>1012</v>
      </c>
      <c r="BK374" s="957" t="s">
        <v>494</v>
      </c>
      <c r="BL374" s="951" t="s">
        <v>1001</v>
      </c>
      <c r="BM374" s="951"/>
      <c r="BN374" s="951" t="s">
        <v>1000</v>
      </c>
      <c r="BO374" s="951"/>
      <c r="BP374" s="951" t="s">
        <v>1001</v>
      </c>
      <c r="BQ374" s="951"/>
      <c r="BR374" s="951" t="s">
        <v>1004</v>
      </c>
      <c r="BS374" s="948"/>
      <c r="BT374" s="953"/>
    </row>
    <row r="375" spans="1:72">
      <c r="A375" s="949"/>
      <c r="B375" s="949"/>
      <c r="C375" s="949"/>
      <c r="D375" s="950" t="s">
        <v>1072</v>
      </c>
      <c r="E375" s="950" t="s">
        <v>1073</v>
      </c>
      <c r="F375" s="948" t="s">
        <v>1074</v>
      </c>
      <c r="G375" s="948" t="s">
        <v>1075</v>
      </c>
      <c r="H375" s="948" t="s">
        <v>1076</v>
      </c>
      <c r="I375" s="948" t="s">
        <v>1077</v>
      </c>
      <c r="J375" s="948" t="s">
        <v>1078</v>
      </c>
      <c r="K375" s="948" t="s">
        <v>1079</v>
      </c>
      <c r="L375" s="948" t="s">
        <v>1080</v>
      </c>
      <c r="M375" s="952"/>
      <c r="N375" s="949" t="s">
        <v>1081</v>
      </c>
      <c r="O375" s="949"/>
      <c r="P375" s="949"/>
      <c r="Q375" s="949"/>
      <c r="R375" s="949"/>
      <c r="S375" s="949"/>
      <c r="T375" s="950" t="s">
        <v>1082</v>
      </c>
      <c r="U375" s="949" t="s">
        <v>1081</v>
      </c>
      <c r="V375" s="949"/>
      <c r="W375" s="949" t="s">
        <v>1081</v>
      </c>
      <c r="X375" s="949"/>
      <c r="Y375" s="949"/>
      <c r="Z375" s="949" t="s">
        <v>1082</v>
      </c>
      <c r="AA375" s="949"/>
      <c r="AB375" s="949"/>
      <c r="AC375" s="949"/>
      <c r="AD375" s="949"/>
      <c r="AE375" s="949"/>
      <c r="AF375" s="953" t="s">
        <v>1082</v>
      </c>
      <c r="AG375" s="953"/>
      <c r="AH375" s="953"/>
      <c r="AI375" s="953"/>
      <c r="AJ375" s="953"/>
      <c r="AK375" s="951" t="s">
        <v>1069</v>
      </c>
      <c r="AL375" s="951"/>
      <c r="AM375" s="951"/>
      <c r="AN375" s="951"/>
      <c r="AO375" s="951"/>
      <c r="AP375" s="951"/>
      <c r="AQ375" s="951"/>
      <c r="AR375" s="951"/>
      <c r="AS375" s="951"/>
      <c r="AT375" s="951"/>
      <c r="AU375" s="951"/>
      <c r="AV375" s="951"/>
      <c r="AW375" s="951"/>
      <c r="AX375" s="951"/>
      <c r="AY375" s="951"/>
      <c r="AZ375" s="951"/>
      <c r="BA375" s="951"/>
      <c r="BB375" s="951"/>
      <c r="BC375" s="954"/>
      <c r="BD375" s="954"/>
      <c r="BE375" s="954"/>
      <c r="BF375" s="954"/>
      <c r="BG375" s="954"/>
      <c r="BH375" s="954"/>
      <c r="BI375" s="954"/>
      <c r="BJ375" s="954"/>
      <c r="BK375" s="954"/>
      <c r="BL375" s="951"/>
      <c r="BM375" s="951"/>
      <c r="BN375" s="951"/>
      <c r="BO375" s="951"/>
      <c r="BP375" s="951"/>
      <c r="BQ375" s="951"/>
      <c r="BR375" s="951"/>
      <c r="BS375" s="948" t="s">
        <v>494</v>
      </c>
      <c r="BT375" s="953"/>
    </row>
    <row r="376" spans="1:72">
      <c r="A376" s="952"/>
      <c r="B376" s="952"/>
      <c r="C376" s="950"/>
      <c r="D376" s="950"/>
      <c r="E376" s="950"/>
      <c r="F376" s="948"/>
      <c r="G376" s="948"/>
      <c r="H376" s="948"/>
      <c r="I376" s="948"/>
      <c r="J376" s="948"/>
      <c r="K376" s="948"/>
      <c r="L376" s="948"/>
      <c r="M376" s="952"/>
      <c r="N376" s="950"/>
      <c r="O376" s="950"/>
      <c r="P376" s="950"/>
      <c r="Q376" s="950"/>
      <c r="R376" s="950"/>
      <c r="S376" s="950"/>
      <c r="T376" s="950"/>
      <c r="U376" s="950"/>
      <c r="V376" s="950"/>
      <c r="W376" s="950"/>
      <c r="X376" s="950"/>
      <c r="Y376" s="950"/>
      <c r="Z376" s="950"/>
      <c r="AA376" s="950"/>
      <c r="AB376" s="950"/>
      <c r="AC376" s="950"/>
      <c r="AD376" s="950"/>
      <c r="AE376" s="950"/>
      <c r="AF376" s="955"/>
      <c r="AG376" s="955"/>
      <c r="AH376" s="955"/>
      <c r="AI376" s="955"/>
      <c r="AJ376" s="955"/>
      <c r="AK376" s="948"/>
      <c r="AL376" s="948"/>
      <c r="AM376" s="948"/>
      <c r="AN376" s="948"/>
      <c r="AO376" s="948"/>
      <c r="AP376" s="948"/>
      <c r="AQ376" s="948"/>
      <c r="AR376" s="948"/>
      <c r="AS376" s="948"/>
      <c r="AT376" s="948"/>
      <c r="AU376" s="948"/>
      <c r="AV376" s="948"/>
      <c r="AW376" s="948"/>
      <c r="AX376" s="948"/>
      <c r="AY376" s="948"/>
      <c r="AZ376" s="948"/>
      <c r="BA376" s="948"/>
      <c r="BB376" s="948"/>
      <c r="BC376" s="957"/>
      <c r="BD376" s="957"/>
      <c r="BE376" s="957"/>
      <c r="BF376" s="957"/>
      <c r="BG376" s="957"/>
      <c r="BH376" s="957"/>
      <c r="BI376" s="957"/>
      <c r="BJ376" s="957"/>
      <c r="BK376" s="957"/>
      <c r="BL376" s="948"/>
      <c r="BM376" s="948"/>
      <c r="BN376" s="948"/>
      <c r="BO376" s="948"/>
      <c r="BP376" s="948"/>
      <c r="BQ376" s="948"/>
      <c r="BR376" s="948"/>
      <c r="BS376" s="948"/>
      <c r="BT376" s="955"/>
    </row>
    <row r="377" spans="1:72">
      <c r="A377" s="958" t="s">
        <v>1201</v>
      </c>
      <c r="B377" s="952"/>
      <c r="C377" s="950"/>
      <c r="D377" s="950"/>
      <c r="E377" s="950"/>
      <c r="F377" s="948"/>
      <c r="G377" s="948"/>
      <c r="H377" s="948"/>
      <c r="I377" s="948"/>
      <c r="J377" s="948"/>
      <c r="K377" s="948"/>
      <c r="L377" s="948"/>
      <c r="M377" s="952"/>
      <c r="N377" s="958" t="str">
        <f>A377</f>
        <v>Balok Lantai 12</v>
      </c>
      <c r="O377" s="950"/>
      <c r="P377" s="950"/>
      <c r="Q377" s="950"/>
      <c r="R377" s="950"/>
      <c r="S377" s="950"/>
      <c r="T377" s="950"/>
      <c r="U377" s="950"/>
      <c r="V377" s="950"/>
      <c r="W377" s="950"/>
      <c r="X377" s="950"/>
      <c r="Y377" s="950"/>
      <c r="Z377" s="950"/>
      <c r="AA377" s="950"/>
      <c r="AB377" s="950"/>
      <c r="AC377" s="950"/>
      <c r="AD377" s="950"/>
      <c r="AE377" s="950"/>
      <c r="AF377" s="955"/>
      <c r="AG377" s="955"/>
      <c r="AH377" s="955"/>
      <c r="AI377" s="955"/>
      <c r="AJ377" s="955"/>
      <c r="AK377" s="948"/>
      <c r="AL377" s="948"/>
      <c r="AM377" s="948"/>
      <c r="AN377" s="948"/>
      <c r="AO377" s="948"/>
      <c r="AP377" s="948"/>
      <c r="AQ377" s="948"/>
      <c r="AR377" s="948"/>
      <c r="AS377" s="948"/>
      <c r="AT377" s="948"/>
      <c r="AU377" s="948"/>
      <c r="AV377" s="948"/>
      <c r="AW377" s="948"/>
      <c r="AX377" s="948"/>
      <c r="AY377" s="948"/>
      <c r="AZ377" s="948"/>
      <c r="BA377" s="948"/>
      <c r="BB377" s="948"/>
      <c r="BC377" s="957"/>
      <c r="BD377" s="957"/>
      <c r="BE377" s="957"/>
      <c r="BF377" s="957"/>
      <c r="BG377" s="957"/>
      <c r="BH377" s="957"/>
      <c r="BI377" s="957"/>
      <c r="BJ377" s="957"/>
      <c r="BK377" s="957"/>
      <c r="BL377" s="948"/>
      <c r="BM377" s="948"/>
      <c r="BN377" s="948"/>
      <c r="BO377" s="948"/>
      <c r="BP377" s="948"/>
      <c r="BQ377" s="948"/>
      <c r="BR377" s="948"/>
      <c r="BS377" s="948"/>
      <c r="BT377" s="955"/>
    </row>
    <row r="378" spans="1:72">
      <c r="A378" s="960" t="s">
        <v>2</v>
      </c>
      <c r="B378" s="960" t="s">
        <v>1084</v>
      </c>
      <c r="C378" s="950"/>
      <c r="D378" s="950"/>
      <c r="E378" s="950"/>
      <c r="F378" s="948"/>
      <c r="G378" s="948"/>
      <c r="H378" s="948"/>
      <c r="I378" s="948"/>
      <c r="J378" s="948"/>
      <c r="K378" s="948"/>
      <c r="L378" s="948"/>
      <c r="M378" s="952"/>
      <c r="N378" s="959" t="str">
        <f>A378</f>
        <v>A</v>
      </c>
      <c r="O378" s="959" t="str">
        <f>B378</f>
        <v>Vertikal</v>
      </c>
      <c r="P378" s="950"/>
      <c r="Q378" s="950"/>
      <c r="R378" s="950"/>
      <c r="S378" s="950"/>
      <c r="T378" s="950"/>
      <c r="U378" s="950"/>
      <c r="V378" s="950"/>
      <c r="W378" s="950"/>
      <c r="X378" s="950"/>
      <c r="Y378" s="950"/>
      <c r="Z378" s="950"/>
      <c r="AA378" s="950"/>
      <c r="AB378" s="950"/>
      <c r="AC378" s="950"/>
      <c r="AD378" s="950"/>
      <c r="AE378" s="950"/>
      <c r="AF378" s="955"/>
      <c r="AG378" s="955"/>
      <c r="AH378" s="955"/>
      <c r="AI378" s="955"/>
      <c r="AJ378" s="955"/>
      <c r="AK378" s="948"/>
      <c r="AL378" s="948"/>
      <c r="AM378" s="948"/>
      <c r="AN378" s="948"/>
      <c r="AO378" s="948"/>
      <c r="AP378" s="948"/>
      <c r="AQ378" s="948"/>
      <c r="AR378" s="948"/>
      <c r="AS378" s="948"/>
      <c r="AT378" s="948"/>
      <c r="AU378" s="948"/>
      <c r="AV378" s="948"/>
      <c r="AW378" s="948"/>
      <c r="AX378" s="948"/>
      <c r="AY378" s="948"/>
      <c r="AZ378" s="948"/>
      <c r="BA378" s="948"/>
      <c r="BB378" s="948"/>
      <c r="BC378" s="957"/>
      <c r="BD378" s="957"/>
      <c r="BE378" s="957"/>
      <c r="BF378" s="957"/>
      <c r="BG378" s="957"/>
      <c r="BH378" s="957"/>
      <c r="BI378" s="957"/>
      <c r="BJ378" s="957"/>
      <c r="BK378" s="957"/>
      <c r="BL378" s="948"/>
      <c r="BM378" s="948"/>
      <c r="BN378" s="948"/>
      <c r="BO378" s="948"/>
      <c r="BP378" s="948"/>
      <c r="BQ378" s="948"/>
      <c r="BR378" s="948"/>
      <c r="BS378" s="948"/>
      <c r="BT378" s="955"/>
    </row>
    <row r="379" spans="1:72">
      <c r="A379" s="952">
        <v>1</v>
      </c>
      <c r="B379" s="952" t="s">
        <v>1161</v>
      </c>
      <c r="C379" s="950" t="s">
        <v>1185</v>
      </c>
      <c r="D379" s="950">
        <v>1</v>
      </c>
      <c r="E379" s="950">
        <v>1</v>
      </c>
      <c r="F379" s="948">
        <v>64</v>
      </c>
      <c r="G379" s="948">
        <v>0.3</v>
      </c>
      <c r="H379" s="948">
        <v>0.65</v>
      </c>
      <c r="I379" s="948">
        <v>0.12</v>
      </c>
      <c r="J379" s="948">
        <f t="shared" ref="J379" si="902">H379-I379</f>
        <v>0.53</v>
      </c>
      <c r="K379" s="948">
        <f>F379*G379*J379*D379*E379</f>
        <v>10.176</v>
      </c>
      <c r="L379" s="948">
        <f>(2*J379)*F379*E379*D379</f>
        <v>67.84</v>
      </c>
      <c r="M379" s="952"/>
      <c r="N379" s="950">
        <v>19</v>
      </c>
      <c r="O379" s="950">
        <v>19</v>
      </c>
      <c r="P379" s="950">
        <v>19</v>
      </c>
      <c r="Q379" s="950">
        <v>19</v>
      </c>
      <c r="R379" s="950">
        <v>19</v>
      </c>
      <c r="S379" s="950">
        <v>19</v>
      </c>
      <c r="T379" s="950">
        <v>8</v>
      </c>
      <c r="U379" s="950"/>
      <c r="V379" s="950"/>
      <c r="W379" s="950">
        <v>200</v>
      </c>
      <c r="X379" s="950">
        <v>100</v>
      </c>
      <c r="Y379" s="950">
        <v>100</v>
      </c>
      <c r="Z379" s="950">
        <v>4</v>
      </c>
      <c r="AA379" s="950">
        <v>4</v>
      </c>
      <c r="AB379" s="950">
        <v>2</v>
      </c>
      <c r="AC379" s="950">
        <v>2</v>
      </c>
      <c r="AD379" s="950">
        <v>4</v>
      </c>
      <c r="AE379" s="950">
        <v>4</v>
      </c>
      <c r="AF379" s="955">
        <f t="shared" ref="AF379:AF383" si="903">(F379/4)/(W379/1000)+1</f>
        <v>81</v>
      </c>
      <c r="AG379" s="955">
        <f t="shared" ref="AG379:AG383" si="904">(F379/2)/(X379/1000)+1</f>
        <v>321</v>
      </c>
      <c r="AH379" s="955">
        <f t="shared" ref="AH379:AH383" si="905">(F379/4)/(Y379/1000)+1</f>
        <v>161</v>
      </c>
      <c r="AI379" s="955">
        <v>0</v>
      </c>
      <c r="AJ379" s="955">
        <v>0</v>
      </c>
      <c r="AK379" s="948">
        <f t="shared" ref="AK379:AK383" si="906">(F379/4)+(20*N379/1000)+(10*N379/1000)+(8*N379/1000)+(6*2*N379/1000)</f>
        <v>16.950000000000003</v>
      </c>
      <c r="AL379" s="948">
        <f t="shared" ref="AL379:AL383" si="907">(F379/4)+(20*O379/1000)+(10*O379/1000)+(8*O379/1000)+(6*2*O379/1000)</f>
        <v>16.950000000000003</v>
      </c>
      <c r="AM379" s="948">
        <f t="shared" ref="AM379:AM383" si="908">(F379/2)+(20*P379/1000)+(6*2*P379/1000)</f>
        <v>32.608000000000004</v>
      </c>
      <c r="AN379" s="948">
        <f t="shared" ref="AN379:AN383" si="909">(F379/2)+(20*Q379/1000)+(6*2*Q379/1000)</f>
        <v>32.608000000000004</v>
      </c>
      <c r="AO379" s="948">
        <f t="shared" ref="AO379:AO383" si="910">(F379/4)+(20*R379/1000)+(10*R379/1000)+(8*R379/1000)+(6*2*R379/1000)</f>
        <v>16.950000000000003</v>
      </c>
      <c r="AP379" s="948">
        <f t="shared" ref="AP379:AP383" si="911">(F379/4)+(20*S379/1000)+(10*S379/1000)+(8*S379/1000)+(6*2*S379/1000)</f>
        <v>16.950000000000003</v>
      </c>
      <c r="AQ379" s="948">
        <f t="shared" ref="AQ379:AQ383" si="912">(2*G379)+(2*H379)+(6*T379/1000)-(8*0.03)</f>
        <v>1.708</v>
      </c>
      <c r="AR379" s="948">
        <f t="shared" ref="AR379:AR383" si="913">((H379)+(2*6*U379/1000)-(2*0.03))*AI379</f>
        <v>0</v>
      </c>
      <c r="AS379" s="948">
        <f t="shared" ref="AS379:AS383" si="914">((G379)+(2*6*V379/1000)-(2*0.03))*AJ379</f>
        <v>0</v>
      </c>
      <c r="AT379" s="948">
        <f t="shared" ref="AT379:AT383" si="915">AK379*Z379*E379*D379</f>
        <v>67.800000000000011</v>
      </c>
      <c r="AU379" s="948">
        <f t="shared" ref="AU379:AU383" si="916">AL379*AA379*E379*D379</f>
        <v>67.800000000000011</v>
      </c>
      <c r="AV379" s="948">
        <f t="shared" ref="AV379:AV383" si="917">AM379*AB379*E379*D379</f>
        <v>65.216000000000008</v>
      </c>
      <c r="AW379" s="948">
        <f t="shared" ref="AW379:AW383" si="918">AN379*AC379*E379*D379</f>
        <v>65.216000000000008</v>
      </c>
      <c r="AX379" s="948">
        <f t="shared" ref="AX379:AX383" si="919">AO379*AD379*E379*D379</f>
        <v>67.800000000000011</v>
      </c>
      <c r="AY379" s="948">
        <f t="shared" ref="AY379:AY383" si="920">AP379*AE379*E379*D379</f>
        <v>67.800000000000011</v>
      </c>
      <c r="AZ379" s="948">
        <f t="shared" ref="AZ379:AZ383" si="921">AQ379*(AF379+AG379+AH379)*E379*D379</f>
        <v>961.60399999999993</v>
      </c>
      <c r="BA379" s="948">
        <f t="shared" ref="BA379:BA383" si="922">AR379*(AF379+AG379+AH379)*E379*D379</f>
        <v>0</v>
      </c>
      <c r="BB379" s="948">
        <f t="shared" ref="BB379:BB383" si="923">AS379*(AF379+AG379+AH379)*E379*D379</f>
        <v>0</v>
      </c>
      <c r="BC379" s="957">
        <f t="shared" ref="BC379:BK383" si="924">N379*N379*0.074/12</f>
        <v>2.2261666666666664</v>
      </c>
      <c r="BD379" s="957">
        <f t="shared" si="924"/>
        <v>2.2261666666666664</v>
      </c>
      <c r="BE379" s="957">
        <f t="shared" si="924"/>
        <v>2.2261666666666664</v>
      </c>
      <c r="BF379" s="957">
        <f t="shared" si="924"/>
        <v>2.2261666666666664</v>
      </c>
      <c r="BG379" s="957">
        <f t="shared" si="924"/>
        <v>2.2261666666666664</v>
      </c>
      <c r="BH379" s="957">
        <f t="shared" si="924"/>
        <v>2.2261666666666664</v>
      </c>
      <c r="BI379" s="957">
        <f t="shared" si="924"/>
        <v>0.39466666666666667</v>
      </c>
      <c r="BJ379" s="957">
        <f t="shared" si="924"/>
        <v>0</v>
      </c>
      <c r="BK379" s="957">
        <f t="shared" si="924"/>
        <v>0</v>
      </c>
      <c r="BL379" s="948">
        <f t="shared" ref="BL379:BR383" si="925">AT379*BC379</f>
        <v>150.9341</v>
      </c>
      <c r="BM379" s="948">
        <f t="shared" si="925"/>
        <v>150.9341</v>
      </c>
      <c r="BN379" s="948">
        <f t="shared" si="925"/>
        <v>145.18168533333335</v>
      </c>
      <c r="BO379" s="948">
        <f t="shared" si="925"/>
        <v>145.18168533333335</v>
      </c>
      <c r="BP379" s="948">
        <f t="shared" si="925"/>
        <v>150.9341</v>
      </c>
      <c r="BQ379" s="948">
        <f t="shared" si="925"/>
        <v>150.9341</v>
      </c>
      <c r="BR379" s="948">
        <f t="shared" si="925"/>
        <v>379.51304533333331</v>
      </c>
      <c r="BS379" s="948">
        <f>BB379*BK379</f>
        <v>0</v>
      </c>
      <c r="BT379" s="955">
        <f>SUM(BL379:BS379)/K379</f>
        <v>125.15849213836478</v>
      </c>
    </row>
    <row r="380" spans="1:72">
      <c r="A380" s="952">
        <v>2</v>
      </c>
      <c r="B380" s="952" t="s">
        <v>1162</v>
      </c>
      <c r="C380" s="950" t="s">
        <v>1163</v>
      </c>
      <c r="D380" s="950">
        <v>1</v>
      </c>
      <c r="E380" s="950">
        <v>1</v>
      </c>
      <c r="F380" s="948">
        <v>64</v>
      </c>
      <c r="G380" s="948">
        <v>0.25</v>
      </c>
      <c r="H380" s="948">
        <v>0.6</v>
      </c>
      <c r="I380" s="948">
        <v>0.12</v>
      </c>
      <c r="J380" s="948">
        <f>H380-I380</f>
        <v>0.48</v>
      </c>
      <c r="K380" s="948">
        <f>F380*G380*J380*D380*E380</f>
        <v>7.68</v>
      </c>
      <c r="L380" s="948">
        <f>(2*J380)*F380*E380*D380</f>
        <v>61.44</v>
      </c>
      <c r="M380" s="952"/>
      <c r="N380" s="950">
        <v>16</v>
      </c>
      <c r="O380" s="950">
        <v>16</v>
      </c>
      <c r="P380" s="950">
        <v>16</v>
      </c>
      <c r="Q380" s="950">
        <v>16</v>
      </c>
      <c r="R380" s="950">
        <v>16</v>
      </c>
      <c r="S380" s="950">
        <v>16</v>
      </c>
      <c r="T380" s="950">
        <v>8</v>
      </c>
      <c r="U380" s="950"/>
      <c r="V380" s="950"/>
      <c r="W380" s="950">
        <v>200</v>
      </c>
      <c r="X380" s="950">
        <v>100</v>
      </c>
      <c r="Y380" s="950">
        <v>100</v>
      </c>
      <c r="Z380" s="950">
        <v>4</v>
      </c>
      <c r="AA380" s="950">
        <v>4</v>
      </c>
      <c r="AB380" s="950">
        <v>2</v>
      </c>
      <c r="AC380" s="950">
        <v>2</v>
      </c>
      <c r="AD380" s="950">
        <v>4</v>
      </c>
      <c r="AE380" s="950">
        <v>4</v>
      </c>
      <c r="AF380" s="955">
        <f t="shared" si="903"/>
        <v>81</v>
      </c>
      <c r="AG380" s="955">
        <f t="shared" si="904"/>
        <v>321</v>
      </c>
      <c r="AH380" s="955">
        <f t="shared" si="905"/>
        <v>161</v>
      </c>
      <c r="AI380" s="955">
        <v>0</v>
      </c>
      <c r="AJ380" s="955">
        <v>0</v>
      </c>
      <c r="AK380" s="948">
        <f t="shared" si="906"/>
        <v>16.8</v>
      </c>
      <c r="AL380" s="948">
        <f t="shared" si="907"/>
        <v>16.8</v>
      </c>
      <c r="AM380" s="948">
        <f t="shared" si="908"/>
        <v>32.512</v>
      </c>
      <c r="AN380" s="948">
        <f t="shared" si="909"/>
        <v>32.512</v>
      </c>
      <c r="AO380" s="948">
        <f t="shared" si="910"/>
        <v>16.8</v>
      </c>
      <c r="AP380" s="948">
        <f t="shared" si="911"/>
        <v>16.8</v>
      </c>
      <c r="AQ380" s="948">
        <f t="shared" si="912"/>
        <v>1.508</v>
      </c>
      <c r="AR380" s="948">
        <f t="shared" si="913"/>
        <v>0</v>
      </c>
      <c r="AS380" s="948">
        <f t="shared" si="914"/>
        <v>0</v>
      </c>
      <c r="AT380" s="948">
        <f t="shared" si="915"/>
        <v>67.2</v>
      </c>
      <c r="AU380" s="948">
        <f t="shared" si="916"/>
        <v>67.2</v>
      </c>
      <c r="AV380" s="948">
        <f t="shared" si="917"/>
        <v>65.024000000000001</v>
      </c>
      <c r="AW380" s="948">
        <f t="shared" si="918"/>
        <v>65.024000000000001</v>
      </c>
      <c r="AX380" s="948">
        <f t="shared" si="919"/>
        <v>67.2</v>
      </c>
      <c r="AY380" s="948">
        <f t="shared" si="920"/>
        <v>67.2</v>
      </c>
      <c r="AZ380" s="948">
        <f t="shared" si="921"/>
        <v>849.00400000000002</v>
      </c>
      <c r="BA380" s="948">
        <f t="shared" si="922"/>
        <v>0</v>
      </c>
      <c r="BB380" s="948">
        <f t="shared" si="923"/>
        <v>0</v>
      </c>
      <c r="BC380" s="957">
        <f t="shared" si="924"/>
        <v>1.5786666666666667</v>
      </c>
      <c r="BD380" s="957">
        <f t="shared" si="924"/>
        <v>1.5786666666666667</v>
      </c>
      <c r="BE380" s="957">
        <f t="shared" si="924"/>
        <v>1.5786666666666667</v>
      </c>
      <c r="BF380" s="957">
        <f t="shared" si="924"/>
        <v>1.5786666666666667</v>
      </c>
      <c r="BG380" s="957">
        <f t="shared" si="924"/>
        <v>1.5786666666666667</v>
      </c>
      <c r="BH380" s="957">
        <f t="shared" si="924"/>
        <v>1.5786666666666667</v>
      </c>
      <c r="BI380" s="957">
        <f t="shared" si="924"/>
        <v>0.39466666666666667</v>
      </c>
      <c r="BJ380" s="957">
        <f t="shared" si="924"/>
        <v>0</v>
      </c>
      <c r="BK380" s="957">
        <f t="shared" si="924"/>
        <v>0</v>
      </c>
      <c r="BL380" s="948">
        <f t="shared" si="925"/>
        <v>106.0864</v>
      </c>
      <c r="BM380" s="948">
        <f t="shared" si="925"/>
        <v>106.0864</v>
      </c>
      <c r="BN380" s="948">
        <f t="shared" si="925"/>
        <v>102.65122133333334</v>
      </c>
      <c r="BO380" s="948">
        <f t="shared" si="925"/>
        <v>102.65122133333334</v>
      </c>
      <c r="BP380" s="948">
        <f t="shared" si="925"/>
        <v>106.0864</v>
      </c>
      <c r="BQ380" s="948">
        <f t="shared" si="925"/>
        <v>106.0864</v>
      </c>
      <c r="BR380" s="948">
        <f t="shared" si="925"/>
        <v>335.07357866666666</v>
      </c>
      <c r="BS380" s="948">
        <f>BB380*BK380</f>
        <v>0</v>
      </c>
      <c r="BT380" s="955">
        <f>SUM(BL380:BS380)/K380</f>
        <v>125.61479444444446</v>
      </c>
    </row>
    <row r="381" spans="1:72">
      <c r="A381" s="952">
        <v>3</v>
      </c>
      <c r="B381" s="952" t="s">
        <v>1092</v>
      </c>
      <c r="C381" s="950" t="s">
        <v>1093</v>
      </c>
      <c r="D381" s="950">
        <v>1</v>
      </c>
      <c r="E381" s="950">
        <v>1</v>
      </c>
      <c r="F381" s="948">
        <v>80</v>
      </c>
      <c r="G381" s="948">
        <v>0.25</v>
      </c>
      <c r="H381" s="948">
        <v>0.6</v>
      </c>
      <c r="I381" s="948">
        <v>0.12</v>
      </c>
      <c r="J381" s="948">
        <f>H381-I381</f>
        <v>0.48</v>
      </c>
      <c r="K381" s="948">
        <f>F381*G381*J381*D381*E381</f>
        <v>9.6</v>
      </c>
      <c r="L381" s="948">
        <f>(2*J381)*F381*E381*D381</f>
        <v>76.8</v>
      </c>
      <c r="M381" s="952"/>
      <c r="N381" s="950">
        <v>16</v>
      </c>
      <c r="O381" s="950">
        <v>16</v>
      </c>
      <c r="P381" s="950">
        <v>16</v>
      </c>
      <c r="Q381" s="950">
        <v>16</v>
      </c>
      <c r="R381" s="950">
        <v>16</v>
      </c>
      <c r="S381" s="950">
        <v>16</v>
      </c>
      <c r="T381" s="950">
        <v>8</v>
      </c>
      <c r="U381" s="950"/>
      <c r="V381" s="950"/>
      <c r="W381" s="950">
        <v>200</v>
      </c>
      <c r="X381" s="950">
        <v>100</v>
      </c>
      <c r="Y381" s="950">
        <v>100</v>
      </c>
      <c r="Z381" s="950">
        <v>9</v>
      </c>
      <c r="AA381" s="950">
        <v>6</v>
      </c>
      <c r="AB381" s="950">
        <v>4</v>
      </c>
      <c r="AC381" s="950">
        <v>4</v>
      </c>
      <c r="AD381" s="950">
        <v>9</v>
      </c>
      <c r="AE381" s="950">
        <v>6</v>
      </c>
      <c r="AF381" s="955">
        <f t="shared" si="903"/>
        <v>101</v>
      </c>
      <c r="AG381" s="955">
        <f t="shared" si="904"/>
        <v>401</v>
      </c>
      <c r="AH381" s="955">
        <f t="shared" si="905"/>
        <v>201</v>
      </c>
      <c r="AI381" s="955">
        <v>0</v>
      </c>
      <c r="AJ381" s="955">
        <v>0</v>
      </c>
      <c r="AK381" s="948">
        <f t="shared" si="906"/>
        <v>20.8</v>
      </c>
      <c r="AL381" s="948">
        <f t="shared" si="907"/>
        <v>20.8</v>
      </c>
      <c r="AM381" s="948">
        <f t="shared" si="908"/>
        <v>40.512</v>
      </c>
      <c r="AN381" s="948">
        <f t="shared" si="909"/>
        <v>40.512</v>
      </c>
      <c r="AO381" s="948">
        <f t="shared" si="910"/>
        <v>20.8</v>
      </c>
      <c r="AP381" s="948">
        <f t="shared" si="911"/>
        <v>20.8</v>
      </c>
      <c r="AQ381" s="948">
        <f t="shared" si="912"/>
        <v>1.508</v>
      </c>
      <c r="AR381" s="948">
        <f t="shared" si="913"/>
        <v>0</v>
      </c>
      <c r="AS381" s="948">
        <f t="shared" si="914"/>
        <v>0</v>
      </c>
      <c r="AT381" s="948">
        <f t="shared" si="915"/>
        <v>187.20000000000002</v>
      </c>
      <c r="AU381" s="948">
        <f t="shared" si="916"/>
        <v>124.80000000000001</v>
      </c>
      <c r="AV381" s="948">
        <f t="shared" si="917"/>
        <v>162.048</v>
      </c>
      <c r="AW381" s="948">
        <f t="shared" si="918"/>
        <v>162.048</v>
      </c>
      <c r="AX381" s="948">
        <f t="shared" si="919"/>
        <v>187.20000000000002</v>
      </c>
      <c r="AY381" s="948">
        <f t="shared" si="920"/>
        <v>124.80000000000001</v>
      </c>
      <c r="AZ381" s="948">
        <f t="shared" si="921"/>
        <v>1060.124</v>
      </c>
      <c r="BA381" s="948">
        <f t="shared" si="922"/>
        <v>0</v>
      </c>
      <c r="BB381" s="948">
        <f t="shared" si="923"/>
        <v>0</v>
      </c>
      <c r="BC381" s="957">
        <f t="shared" si="924"/>
        <v>1.5786666666666667</v>
      </c>
      <c r="BD381" s="957">
        <f t="shared" si="924"/>
        <v>1.5786666666666667</v>
      </c>
      <c r="BE381" s="957">
        <f t="shared" si="924"/>
        <v>1.5786666666666667</v>
      </c>
      <c r="BF381" s="957">
        <f t="shared" si="924"/>
        <v>1.5786666666666667</v>
      </c>
      <c r="BG381" s="957">
        <f t="shared" si="924"/>
        <v>1.5786666666666667</v>
      </c>
      <c r="BH381" s="957">
        <f t="shared" si="924"/>
        <v>1.5786666666666667</v>
      </c>
      <c r="BI381" s="957">
        <f t="shared" si="924"/>
        <v>0.39466666666666667</v>
      </c>
      <c r="BJ381" s="957">
        <f t="shared" si="924"/>
        <v>0</v>
      </c>
      <c r="BK381" s="957">
        <f t="shared" si="924"/>
        <v>0</v>
      </c>
      <c r="BL381" s="948">
        <f t="shared" si="925"/>
        <v>295.52640000000002</v>
      </c>
      <c r="BM381" s="948">
        <f t="shared" si="925"/>
        <v>197.01760000000002</v>
      </c>
      <c r="BN381" s="948">
        <f t="shared" si="925"/>
        <v>255.81977599999999</v>
      </c>
      <c r="BO381" s="948">
        <f t="shared" si="925"/>
        <v>255.81977599999999</v>
      </c>
      <c r="BP381" s="948">
        <f t="shared" si="925"/>
        <v>295.52640000000002</v>
      </c>
      <c r="BQ381" s="948">
        <f t="shared" si="925"/>
        <v>197.01760000000002</v>
      </c>
      <c r="BR381" s="948">
        <f t="shared" si="925"/>
        <v>418.39560533333332</v>
      </c>
      <c r="BS381" s="948">
        <f>BB381*BK381</f>
        <v>0</v>
      </c>
      <c r="BT381" s="955">
        <f>SUM(BL381:BS381)/K381</f>
        <v>199.49199555555555</v>
      </c>
    </row>
    <row r="382" spans="1:72">
      <c r="A382" s="952">
        <v>4</v>
      </c>
      <c r="B382" s="952" t="s">
        <v>1164</v>
      </c>
      <c r="C382" s="950" t="s">
        <v>1165</v>
      </c>
      <c r="D382" s="950">
        <v>1</v>
      </c>
      <c r="E382" s="950">
        <v>1</v>
      </c>
      <c r="F382" s="948">
        <v>80</v>
      </c>
      <c r="G382" s="948">
        <v>0.3</v>
      </c>
      <c r="H382" s="948">
        <v>0.65</v>
      </c>
      <c r="I382" s="948">
        <v>0.12</v>
      </c>
      <c r="J382" s="948">
        <f>H382-I382</f>
        <v>0.53</v>
      </c>
      <c r="K382" s="948">
        <f>F382*G382*J382*D382*E382</f>
        <v>12.72</v>
      </c>
      <c r="L382" s="948">
        <f>(2*J382)*F382*E382*D382</f>
        <v>84.800000000000011</v>
      </c>
      <c r="M382" s="952"/>
      <c r="N382" s="950">
        <v>16</v>
      </c>
      <c r="O382" s="950">
        <v>16</v>
      </c>
      <c r="P382" s="950">
        <v>16</v>
      </c>
      <c r="Q382" s="950">
        <v>16</v>
      </c>
      <c r="R382" s="950">
        <v>16</v>
      </c>
      <c r="S382" s="950">
        <v>16</v>
      </c>
      <c r="T382" s="950">
        <v>8</v>
      </c>
      <c r="U382" s="950"/>
      <c r="V382" s="950"/>
      <c r="W382" s="950">
        <v>200</v>
      </c>
      <c r="X382" s="950">
        <v>100</v>
      </c>
      <c r="Y382" s="950">
        <v>100</v>
      </c>
      <c r="Z382" s="950">
        <v>4</v>
      </c>
      <c r="AA382" s="950">
        <v>4</v>
      </c>
      <c r="AB382" s="950">
        <v>2</v>
      </c>
      <c r="AC382" s="950">
        <v>2</v>
      </c>
      <c r="AD382" s="950">
        <v>4</v>
      </c>
      <c r="AE382" s="950">
        <v>4</v>
      </c>
      <c r="AF382" s="955">
        <f t="shared" si="903"/>
        <v>101</v>
      </c>
      <c r="AG382" s="955">
        <f t="shared" si="904"/>
        <v>401</v>
      </c>
      <c r="AH382" s="955">
        <f t="shared" si="905"/>
        <v>201</v>
      </c>
      <c r="AI382" s="955">
        <v>0</v>
      </c>
      <c r="AJ382" s="955">
        <v>0</v>
      </c>
      <c r="AK382" s="948">
        <f t="shared" si="906"/>
        <v>20.8</v>
      </c>
      <c r="AL382" s="948">
        <f t="shared" si="907"/>
        <v>20.8</v>
      </c>
      <c r="AM382" s="948">
        <f t="shared" si="908"/>
        <v>40.512</v>
      </c>
      <c r="AN382" s="948">
        <f t="shared" si="909"/>
        <v>40.512</v>
      </c>
      <c r="AO382" s="948">
        <f t="shared" si="910"/>
        <v>20.8</v>
      </c>
      <c r="AP382" s="948">
        <f t="shared" si="911"/>
        <v>20.8</v>
      </c>
      <c r="AQ382" s="948">
        <f t="shared" si="912"/>
        <v>1.708</v>
      </c>
      <c r="AR382" s="948">
        <f t="shared" si="913"/>
        <v>0</v>
      </c>
      <c r="AS382" s="948">
        <f t="shared" si="914"/>
        <v>0</v>
      </c>
      <c r="AT382" s="948">
        <f t="shared" si="915"/>
        <v>83.2</v>
      </c>
      <c r="AU382" s="948">
        <f t="shared" si="916"/>
        <v>83.2</v>
      </c>
      <c r="AV382" s="948">
        <f t="shared" si="917"/>
        <v>81.024000000000001</v>
      </c>
      <c r="AW382" s="948">
        <f t="shared" si="918"/>
        <v>81.024000000000001</v>
      </c>
      <c r="AX382" s="948">
        <f t="shared" si="919"/>
        <v>83.2</v>
      </c>
      <c r="AY382" s="948">
        <f t="shared" si="920"/>
        <v>83.2</v>
      </c>
      <c r="AZ382" s="948">
        <f t="shared" si="921"/>
        <v>1200.7239999999999</v>
      </c>
      <c r="BA382" s="948">
        <f t="shared" si="922"/>
        <v>0</v>
      </c>
      <c r="BB382" s="948">
        <f t="shared" si="923"/>
        <v>0</v>
      </c>
      <c r="BC382" s="957">
        <f t="shared" si="924"/>
        <v>1.5786666666666667</v>
      </c>
      <c r="BD382" s="957">
        <f t="shared" si="924"/>
        <v>1.5786666666666667</v>
      </c>
      <c r="BE382" s="957">
        <f t="shared" si="924"/>
        <v>1.5786666666666667</v>
      </c>
      <c r="BF382" s="957">
        <f t="shared" si="924"/>
        <v>1.5786666666666667</v>
      </c>
      <c r="BG382" s="957">
        <f t="shared" si="924"/>
        <v>1.5786666666666667</v>
      </c>
      <c r="BH382" s="957">
        <f t="shared" si="924"/>
        <v>1.5786666666666667</v>
      </c>
      <c r="BI382" s="957">
        <f t="shared" si="924"/>
        <v>0.39466666666666667</v>
      </c>
      <c r="BJ382" s="957">
        <f t="shared" si="924"/>
        <v>0</v>
      </c>
      <c r="BK382" s="957">
        <f t="shared" si="924"/>
        <v>0</v>
      </c>
      <c r="BL382" s="948">
        <f t="shared" si="925"/>
        <v>131.34506666666667</v>
      </c>
      <c r="BM382" s="948">
        <f t="shared" si="925"/>
        <v>131.34506666666667</v>
      </c>
      <c r="BN382" s="948">
        <f t="shared" si="925"/>
        <v>127.909888</v>
      </c>
      <c r="BO382" s="948">
        <f t="shared" si="925"/>
        <v>127.909888</v>
      </c>
      <c r="BP382" s="948">
        <f t="shared" si="925"/>
        <v>131.34506666666667</v>
      </c>
      <c r="BQ382" s="948">
        <f t="shared" si="925"/>
        <v>131.34506666666667</v>
      </c>
      <c r="BR382" s="948">
        <f t="shared" si="925"/>
        <v>473.88573866666661</v>
      </c>
      <c r="BS382" s="948">
        <f>BB382*BK382</f>
        <v>0</v>
      </c>
      <c r="BT382" s="955">
        <f>SUM(BL382:BS382)/K382</f>
        <v>98.670265828092226</v>
      </c>
    </row>
    <row r="383" spans="1:72">
      <c r="A383" s="952">
        <v>5</v>
      </c>
      <c r="B383" s="952" t="s">
        <v>1166</v>
      </c>
      <c r="C383" s="950" t="s">
        <v>1103</v>
      </c>
      <c r="D383" s="950">
        <v>1</v>
      </c>
      <c r="E383" s="950">
        <v>1</v>
      </c>
      <c r="F383" s="948">
        <v>10</v>
      </c>
      <c r="G383" s="948">
        <v>0.25</v>
      </c>
      <c r="H383" s="948">
        <v>0.6</v>
      </c>
      <c r="I383" s="948">
        <v>0.12</v>
      </c>
      <c r="J383" s="948">
        <f t="shared" ref="J383" si="926">H383-I383</f>
        <v>0.48</v>
      </c>
      <c r="K383" s="948">
        <f t="shared" ref="K383" si="927">F383*G383*J383*D383*E383</f>
        <v>1.2</v>
      </c>
      <c r="L383" s="948">
        <f t="shared" ref="L383" si="928">(2*J383)*F383*E383*D383+(D383*E383*F383*G383)</f>
        <v>12.1</v>
      </c>
      <c r="M383" s="952"/>
      <c r="N383" s="950">
        <v>16</v>
      </c>
      <c r="O383" s="950">
        <v>16</v>
      </c>
      <c r="P383" s="950">
        <v>16</v>
      </c>
      <c r="Q383" s="950">
        <v>16</v>
      </c>
      <c r="R383" s="950">
        <v>16</v>
      </c>
      <c r="S383" s="950">
        <v>16</v>
      </c>
      <c r="T383" s="950">
        <v>8</v>
      </c>
      <c r="U383" s="950"/>
      <c r="V383" s="950"/>
      <c r="W383" s="950">
        <v>200</v>
      </c>
      <c r="X383" s="950">
        <v>100</v>
      </c>
      <c r="Y383" s="950">
        <v>100</v>
      </c>
      <c r="Z383" s="950">
        <v>4</v>
      </c>
      <c r="AA383" s="950">
        <v>4</v>
      </c>
      <c r="AB383" s="950">
        <v>2</v>
      </c>
      <c r="AC383" s="950">
        <v>2</v>
      </c>
      <c r="AD383" s="950">
        <v>4</v>
      </c>
      <c r="AE383" s="950">
        <v>4</v>
      </c>
      <c r="AF383" s="955">
        <f t="shared" si="903"/>
        <v>13.5</v>
      </c>
      <c r="AG383" s="955">
        <f t="shared" si="904"/>
        <v>51</v>
      </c>
      <c r="AH383" s="955">
        <f t="shared" si="905"/>
        <v>26</v>
      </c>
      <c r="AI383" s="955">
        <v>0</v>
      </c>
      <c r="AJ383" s="955">
        <v>0</v>
      </c>
      <c r="AK383" s="948">
        <f t="shared" si="906"/>
        <v>3.3000000000000003</v>
      </c>
      <c r="AL383" s="948">
        <f t="shared" si="907"/>
        <v>3.3000000000000003</v>
      </c>
      <c r="AM383" s="948">
        <f t="shared" si="908"/>
        <v>5.5120000000000005</v>
      </c>
      <c r="AN383" s="948">
        <f t="shared" si="909"/>
        <v>5.5120000000000005</v>
      </c>
      <c r="AO383" s="948">
        <f t="shared" si="910"/>
        <v>3.3000000000000003</v>
      </c>
      <c r="AP383" s="948">
        <f t="shared" si="911"/>
        <v>3.3000000000000003</v>
      </c>
      <c r="AQ383" s="948">
        <f t="shared" si="912"/>
        <v>1.508</v>
      </c>
      <c r="AR383" s="948">
        <f t="shared" si="913"/>
        <v>0</v>
      </c>
      <c r="AS383" s="948">
        <f t="shared" si="914"/>
        <v>0</v>
      </c>
      <c r="AT383" s="948">
        <f t="shared" si="915"/>
        <v>13.200000000000001</v>
      </c>
      <c r="AU383" s="948">
        <f t="shared" si="916"/>
        <v>13.200000000000001</v>
      </c>
      <c r="AV383" s="948">
        <f t="shared" si="917"/>
        <v>11.024000000000001</v>
      </c>
      <c r="AW383" s="948">
        <f t="shared" si="918"/>
        <v>11.024000000000001</v>
      </c>
      <c r="AX383" s="948">
        <f t="shared" si="919"/>
        <v>13.200000000000001</v>
      </c>
      <c r="AY383" s="948">
        <f t="shared" si="920"/>
        <v>13.200000000000001</v>
      </c>
      <c r="AZ383" s="948">
        <f t="shared" si="921"/>
        <v>136.47399999999999</v>
      </c>
      <c r="BA383" s="948">
        <f t="shared" si="922"/>
        <v>0</v>
      </c>
      <c r="BB383" s="948">
        <f t="shared" si="923"/>
        <v>0</v>
      </c>
      <c r="BC383" s="957">
        <f t="shared" si="924"/>
        <v>1.5786666666666667</v>
      </c>
      <c r="BD383" s="957">
        <f t="shared" si="924"/>
        <v>1.5786666666666667</v>
      </c>
      <c r="BE383" s="957">
        <f t="shared" si="924"/>
        <v>1.5786666666666667</v>
      </c>
      <c r="BF383" s="957">
        <f t="shared" si="924"/>
        <v>1.5786666666666667</v>
      </c>
      <c r="BG383" s="957">
        <f t="shared" si="924"/>
        <v>1.5786666666666667</v>
      </c>
      <c r="BH383" s="957">
        <f t="shared" si="924"/>
        <v>1.5786666666666667</v>
      </c>
      <c r="BI383" s="957">
        <f t="shared" si="924"/>
        <v>0.39466666666666667</v>
      </c>
      <c r="BJ383" s="957">
        <f t="shared" si="924"/>
        <v>0</v>
      </c>
      <c r="BK383" s="957">
        <f t="shared" si="924"/>
        <v>0</v>
      </c>
      <c r="BL383" s="948">
        <f t="shared" si="925"/>
        <v>20.8384</v>
      </c>
      <c r="BM383" s="948">
        <f t="shared" si="925"/>
        <v>20.8384</v>
      </c>
      <c r="BN383" s="948">
        <f t="shared" si="925"/>
        <v>17.403221333333335</v>
      </c>
      <c r="BO383" s="948">
        <f t="shared" si="925"/>
        <v>17.403221333333335</v>
      </c>
      <c r="BP383" s="948">
        <f t="shared" si="925"/>
        <v>20.8384</v>
      </c>
      <c r="BQ383" s="948">
        <f t="shared" si="925"/>
        <v>20.8384</v>
      </c>
      <c r="BR383" s="948">
        <f t="shared" si="925"/>
        <v>53.86173866666666</v>
      </c>
      <c r="BS383" s="948">
        <f>BB383*BK383</f>
        <v>0</v>
      </c>
      <c r="BT383" s="955">
        <f>SUM(BL383:BS383)/K383</f>
        <v>143.35148444444445</v>
      </c>
    </row>
    <row r="384" spans="1:72">
      <c r="A384" s="952"/>
      <c r="B384" s="952"/>
      <c r="C384" s="950"/>
      <c r="D384" s="950"/>
      <c r="E384" s="950"/>
      <c r="F384" s="948"/>
      <c r="G384" s="948"/>
      <c r="H384" s="948"/>
      <c r="I384" s="948"/>
      <c r="J384" s="948"/>
      <c r="K384" s="948"/>
      <c r="L384" s="948"/>
      <c r="M384" s="952"/>
      <c r="N384" s="948"/>
      <c r="O384" s="950"/>
      <c r="P384" s="950"/>
      <c r="Q384" s="950"/>
      <c r="R384" s="950"/>
      <c r="S384" s="950"/>
      <c r="T384" s="950"/>
      <c r="U384" s="950"/>
      <c r="V384" s="950"/>
      <c r="W384" s="950"/>
      <c r="X384" s="950"/>
      <c r="Y384" s="950"/>
      <c r="Z384" s="950"/>
      <c r="AA384" s="950"/>
      <c r="AB384" s="950"/>
      <c r="AC384" s="950"/>
      <c r="AD384" s="950"/>
      <c r="AE384" s="950"/>
      <c r="AF384" s="955"/>
      <c r="AG384" s="955"/>
      <c r="AH384" s="955"/>
      <c r="AI384" s="955"/>
      <c r="AJ384" s="955"/>
      <c r="AK384" s="948"/>
      <c r="AL384" s="948"/>
      <c r="AM384" s="948"/>
      <c r="AN384" s="948"/>
      <c r="AO384" s="948"/>
      <c r="AP384" s="948"/>
      <c r="AQ384" s="948"/>
      <c r="AR384" s="948"/>
      <c r="AS384" s="948"/>
      <c r="AT384" s="948"/>
      <c r="AU384" s="948"/>
      <c r="AV384" s="948"/>
      <c r="AW384" s="948"/>
      <c r="AX384" s="948"/>
      <c r="AY384" s="948"/>
      <c r="AZ384" s="948"/>
      <c r="BA384" s="948"/>
      <c r="BB384" s="948"/>
      <c r="BC384" s="957"/>
      <c r="BD384" s="957"/>
      <c r="BE384" s="957"/>
      <c r="BF384" s="957"/>
      <c r="BG384" s="957"/>
      <c r="BH384" s="957"/>
      <c r="BI384" s="957"/>
      <c r="BJ384" s="957"/>
      <c r="BK384" s="957"/>
      <c r="BL384" s="948"/>
      <c r="BM384" s="948"/>
      <c r="BN384" s="948"/>
      <c r="BO384" s="948"/>
      <c r="BP384" s="948"/>
      <c r="BQ384" s="948"/>
      <c r="BR384" s="948"/>
      <c r="BS384" s="948"/>
      <c r="BT384" s="955"/>
    </row>
    <row r="385" spans="1:72">
      <c r="A385" s="960" t="s">
        <v>8</v>
      </c>
      <c r="B385" s="960" t="s">
        <v>1104</v>
      </c>
      <c r="C385" s="950"/>
      <c r="D385" s="950"/>
      <c r="E385" s="950"/>
      <c r="F385" s="948"/>
      <c r="G385" s="948"/>
      <c r="H385" s="948"/>
      <c r="I385" s="948"/>
      <c r="J385" s="948"/>
      <c r="K385" s="948"/>
      <c r="L385" s="948"/>
      <c r="M385" s="952"/>
      <c r="N385" s="959" t="str">
        <f>A385</f>
        <v>B</v>
      </c>
      <c r="O385" s="959" t="str">
        <f>B385</f>
        <v>Horizontal</v>
      </c>
      <c r="P385" s="950"/>
      <c r="Q385" s="950"/>
      <c r="R385" s="950"/>
      <c r="S385" s="950"/>
      <c r="T385" s="950"/>
      <c r="U385" s="950"/>
      <c r="V385" s="950"/>
      <c r="W385" s="950"/>
      <c r="X385" s="950"/>
      <c r="Y385" s="950"/>
      <c r="Z385" s="950"/>
      <c r="AA385" s="950"/>
      <c r="AB385" s="950"/>
      <c r="AC385" s="950"/>
      <c r="AD385" s="950"/>
      <c r="AE385" s="950"/>
      <c r="AF385" s="955"/>
      <c r="AG385" s="955"/>
      <c r="AH385" s="955"/>
      <c r="AI385" s="955"/>
      <c r="AJ385" s="955"/>
      <c r="AK385" s="948"/>
      <c r="AL385" s="948"/>
      <c r="AM385" s="948"/>
      <c r="AN385" s="948"/>
      <c r="AO385" s="948"/>
      <c r="AP385" s="948"/>
      <c r="AQ385" s="948"/>
      <c r="AR385" s="948"/>
      <c r="AS385" s="948"/>
      <c r="AT385" s="948"/>
      <c r="AU385" s="948"/>
      <c r="AV385" s="948"/>
      <c r="AW385" s="948"/>
      <c r="AX385" s="948"/>
      <c r="AY385" s="948"/>
      <c r="AZ385" s="948"/>
      <c r="BA385" s="948"/>
      <c r="BB385" s="948"/>
      <c r="BC385" s="957"/>
      <c r="BD385" s="957"/>
      <c r="BE385" s="957"/>
      <c r="BF385" s="957"/>
      <c r="BG385" s="957"/>
      <c r="BH385" s="957"/>
      <c r="BI385" s="957"/>
      <c r="BJ385" s="957"/>
      <c r="BK385" s="957"/>
      <c r="BL385" s="948"/>
      <c r="BM385" s="948"/>
      <c r="BN385" s="948"/>
      <c r="BO385" s="948"/>
      <c r="BP385" s="948"/>
      <c r="BQ385" s="948"/>
      <c r="BR385" s="948"/>
      <c r="BS385" s="948"/>
      <c r="BT385" s="955"/>
    </row>
    <row r="386" spans="1:72">
      <c r="A386" s="952">
        <v>1</v>
      </c>
      <c r="B386" s="952" t="s">
        <v>1167</v>
      </c>
      <c r="C386" s="950" t="s">
        <v>1168</v>
      </c>
      <c r="D386" s="950">
        <v>1</v>
      </c>
      <c r="E386" s="950">
        <v>1</v>
      </c>
      <c r="F386" s="948">
        <v>8</v>
      </c>
      <c r="G386" s="948">
        <v>0.3</v>
      </c>
      <c r="H386" s="948">
        <v>0.7</v>
      </c>
      <c r="I386" s="948">
        <v>0.12</v>
      </c>
      <c r="J386" s="948">
        <f t="shared" ref="J386:J392" si="929">H386-I386</f>
        <v>0.57999999999999996</v>
      </c>
      <c r="K386" s="948">
        <f>F386*G386*J386*D386*E386</f>
        <v>1.3919999999999999</v>
      </c>
      <c r="L386" s="948">
        <f t="shared" ref="L386" si="930">(2*J386)*F386*E386*D386+(D386*E386*F386*G386)</f>
        <v>11.68</v>
      </c>
      <c r="M386" s="952"/>
      <c r="N386" s="950">
        <v>16</v>
      </c>
      <c r="O386" s="950">
        <v>16</v>
      </c>
      <c r="P386" s="950">
        <v>16</v>
      </c>
      <c r="Q386" s="950">
        <v>16</v>
      </c>
      <c r="R386" s="950">
        <v>16</v>
      </c>
      <c r="S386" s="950">
        <v>16</v>
      </c>
      <c r="T386" s="950">
        <v>8</v>
      </c>
      <c r="U386" s="950"/>
      <c r="V386" s="950"/>
      <c r="W386" s="950">
        <v>200</v>
      </c>
      <c r="X386" s="950">
        <v>100</v>
      </c>
      <c r="Y386" s="950">
        <v>100</v>
      </c>
      <c r="Z386" s="950">
        <v>4</v>
      </c>
      <c r="AA386" s="950">
        <v>4</v>
      </c>
      <c r="AB386" s="950">
        <v>2</v>
      </c>
      <c r="AC386" s="950">
        <v>2</v>
      </c>
      <c r="AD386" s="950">
        <v>4</v>
      </c>
      <c r="AE386" s="950">
        <v>4</v>
      </c>
      <c r="AF386" s="955">
        <f t="shared" ref="AF386:AF392" si="931">(F386/4)/(W386/1000)+1</f>
        <v>11</v>
      </c>
      <c r="AG386" s="955">
        <f t="shared" ref="AG386:AG392" si="932">(F386/2)/(X386/1000)+1</f>
        <v>41</v>
      </c>
      <c r="AH386" s="955">
        <f t="shared" ref="AH386:AH392" si="933">(F386/4)/(Y386/1000)+1</f>
        <v>21</v>
      </c>
      <c r="AI386" s="955">
        <v>0</v>
      </c>
      <c r="AJ386" s="955">
        <v>0</v>
      </c>
      <c r="AK386" s="948">
        <f t="shared" ref="AK386:AK392" si="934">(F386/4)+(20*N386/1000)+(10*N386/1000)+(8*N386/1000)+(6*2*N386/1000)</f>
        <v>2.8000000000000003</v>
      </c>
      <c r="AL386" s="948">
        <f t="shared" ref="AL386:AL392" si="935">(F386/4)+(20*O386/1000)+(10*O386/1000)+(8*O386/1000)+(6*2*O386/1000)</f>
        <v>2.8000000000000003</v>
      </c>
      <c r="AM386" s="948">
        <f t="shared" ref="AM386:AM392" si="936">(F386/2)+(20*P386/1000)+(6*2*P386/1000)</f>
        <v>4.5120000000000005</v>
      </c>
      <c r="AN386" s="948">
        <f t="shared" ref="AN386:AN392" si="937">(F386/2)+(20*Q386/1000)+(6*2*Q386/1000)</f>
        <v>4.5120000000000005</v>
      </c>
      <c r="AO386" s="948">
        <f t="shared" ref="AO386:AO392" si="938">(F386/4)+(20*R386/1000)+(10*R386/1000)+(8*R386/1000)+(6*2*R386/1000)</f>
        <v>2.8000000000000003</v>
      </c>
      <c r="AP386" s="948">
        <f t="shared" ref="AP386:AP392" si="939">(F386/4)+(20*S386/1000)+(10*S386/1000)+(8*S386/1000)+(6*2*S386/1000)</f>
        <v>2.8000000000000003</v>
      </c>
      <c r="AQ386" s="948">
        <f t="shared" ref="AQ386:AQ392" si="940">(2*G386)+(2*H386)+(6*T386/1000)-(8*0.03)</f>
        <v>1.8080000000000001</v>
      </c>
      <c r="AR386" s="948">
        <f t="shared" ref="AR386:AR392" si="941">((H386)+(2*6*U386/1000)-(2*0.03))*AI386</f>
        <v>0</v>
      </c>
      <c r="AS386" s="948">
        <f t="shared" ref="AS386:AS392" si="942">((G386)+(2*6*V386/1000)-(2*0.03))*AJ386</f>
        <v>0</v>
      </c>
      <c r="AT386" s="948">
        <f t="shared" ref="AT386:AT392" si="943">AK386*Z386*E386*D386</f>
        <v>11.200000000000001</v>
      </c>
      <c r="AU386" s="948">
        <f t="shared" ref="AU386:AU392" si="944">AL386*AA386*E386*D386</f>
        <v>11.200000000000001</v>
      </c>
      <c r="AV386" s="948">
        <f t="shared" ref="AV386:AV392" si="945">AM386*AB386*E386*D386</f>
        <v>9.0240000000000009</v>
      </c>
      <c r="AW386" s="948">
        <f t="shared" ref="AW386:AW392" si="946">AN386*AC386*E386*D386</f>
        <v>9.0240000000000009</v>
      </c>
      <c r="AX386" s="948">
        <f t="shared" ref="AX386:AX392" si="947">AO386*AD386*E386*D386</f>
        <v>11.200000000000001</v>
      </c>
      <c r="AY386" s="948">
        <f t="shared" ref="AY386:AY392" si="948">AP386*AE386*E386*D386</f>
        <v>11.200000000000001</v>
      </c>
      <c r="AZ386" s="948">
        <f t="shared" ref="AZ386:AZ392" si="949">AQ386*(AF386+AG386+AH386)*E386*D386</f>
        <v>131.98400000000001</v>
      </c>
      <c r="BA386" s="948">
        <f t="shared" ref="BA386:BA392" si="950">AR386*(AF386+AG386+AH386)*E386*D386</f>
        <v>0</v>
      </c>
      <c r="BB386" s="948">
        <f t="shared" ref="BB386:BB392" si="951">AS386*(AF386+AG386+AH386)*E386*D386</f>
        <v>0</v>
      </c>
      <c r="BC386" s="957">
        <f t="shared" ref="BC386:BK392" si="952">N386*N386*0.074/12</f>
        <v>1.5786666666666667</v>
      </c>
      <c r="BD386" s="957">
        <f t="shared" si="952"/>
        <v>1.5786666666666667</v>
      </c>
      <c r="BE386" s="957">
        <f t="shared" si="952"/>
        <v>1.5786666666666667</v>
      </c>
      <c r="BF386" s="957">
        <f t="shared" si="952"/>
        <v>1.5786666666666667</v>
      </c>
      <c r="BG386" s="957">
        <f t="shared" si="952"/>
        <v>1.5786666666666667</v>
      </c>
      <c r="BH386" s="957">
        <f t="shared" si="952"/>
        <v>1.5786666666666667</v>
      </c>
      <c r="BI386" s="957">
        <f t="shared" si="952"/>
        <v>0.39466666666666667</v>
      </c>
      <c r="BJ386" s="957">
        <f t="shared" si="952"/>
        <v>0</v>
      </c>
      <c r="BK386" s="957">
        <f t="shared" si="952"/>
        <v>0</v>
      </c>
      <c r="BL386" s="948">
        <f t="shared" ref="BL386:BR392" si="953">AT386*BC386</f>
        <v>17.68106666666667</v>
      </c>
      <c r="BM386" s="948">
        <f t="shared" si="953"/>
        <v>17.68106666666667</v>
      </c>
      <c r="BN386" s="948">
        <f t="shared" si="953"/>
        <v>14.245888000000001</v>
      </c>
      <c r="BO386" s="948">
        <f t="shared" si="953"/>
        <v>14.245888000000001</v>
      </c>
      <c r="BP386" s="948">
        <f t="shared" si="953"/>
        <v>17.68106666666667</v>
      </c>
      <c r="BQ386" s="948">
        <f t="shared" si="953"/>
        <v>17.68106666666667</v>
      </c>
      <c r="BR386" s="948">
        <f t="shared" si="953"/>
        <v>52.089685333333335</v>
      </c>
      <c r="BS386" s="948">
        <f t="shared" ref="BS386:BS392" si="954">BB386*BK386</f>
        <v>0</v>
      </c>
      <c r="BT386" s="955">
        <f t="shared" ref="BT386:BT392" si="955">SUM(BL386:BS386)/K386</f>
        <v>108.69664367816094</v>
      </c>
    </row>
    <row r="387" spans="1:72">
      <c r="A387" s="952">
        <v>2</v>
      </c>
      <c r="B387" s="952" t="s">
        <v>1186</v>
      </c>
      <c r="C387" s="950" t="s">
        <v>1187</v>
      </c>
      <c r="D387" s="950">
        <v>1</v>
      </c>
      <c r="E387" s="950">
        <v>1</v>
      </c>
      <c r="F387" s="948">
        <v>14</v>
      </c>
      <c r="G387" s="948">
        <v>0.3</v>
      </c>
      <c r="H387" s="948">
        <v>0.65</v>
      </c>
      <c r="I387" s="948">
        <v>0.12</v>
      </c>
      <c r="J387" s="948">
        <f t="shared" si="929"/>
        <v>0.53</v>
      </c>
      <c r="K387" s="948">
        <f t="shared" ref="K387:K392" si="956">F387*G387*J387*D387*E387</f>
        <v>2.2260000000000004</v>
      </c>
      <c r="L387" s="948">
        <f t="shared" ref="L387:L392" si="957">(2*J387)*F387*E387*D387</f>
        <v>14.84</v>
      </c>
      <c r="M387" s="952"/>
      <c r="N387" s="950">
        <v>16</v>
      </c>
      <c r="O387" s="950">
        <v>16</v>
      </c>
      <c r="P387" s="950">
        <v>16</v>
      </c>
      <c r="Q387" s="950">
        <v>16</v>
      </c>
      <c r="R387" s="950">
        <v>16</v>
      </c>
      <c r="S387" s="950">
        <v>16</v>
      </c>
      <c r="T387" s="950">
        <v>8</v>
      </c>
      <c r="U387" s="950"/>
      <c r="V387" s="950"/>
      <c r="W387" s="950">
        <v>200</v>
      </c>
      <c r="X387" s="950">
        <v>100</v>
      </c>
      <c r="Y387" s="950">
        <v>100</v>
      </c>
      <c r="Z387" s="950">
        <v>4</v>
      </c>
      <c r="AA387" s="950">
        <v>4</v>
      </c>
      <c r="AB387" s="950">
        <v>2</v>
      </c>
      <c r="AC387" s="950">
        <v>2</v>
      </c>
      <c r="AD387" s="950">
        <v>4</v>
      </c>
      <c r="AE387" s="950">
        <v>4</v>
      </c>
      <c r="AF387" s="955">
        <f t="shared" si="931"/>
        <v>18.5</v>
      </c>
      <c r="AG387" s="955">
        <f t="shared" si="932"/>
        <v>71</v>
      </c>
      <c r="AH387" s="955">
        <f t="shared" si="933"/>
        <v>36</v>
      </c>
      <c r="AI387" s="955">
        <v>0</v>
      </c>
      <c r="AJ387" s="955">
        <v>0</v>
      </c>
      <c r="AK387" s="948">
        <f t="shared" si="934"/>
        <v>4.3</v>
      </c>
      <c r="AL387" s="948">
        <f t="shared" si="935"/>
        <v>4.3</v>
      </c>
      <c r="AM387" s="948">
        <f t="shared" si="936"/>
        <v>7.5120000000000005</v>
      </c>
      <c r="AN387" s="948">
        <f t="shared" si="937"/>
        <v>7.5120000000000005</v>
      </c>
      <c r="AO387" s="948">
        <f t="shared" si="938"/>
        <v>4.3</v>
      </c>
      <c r="AP387" s="948">
        <f t="shared" si="939"/>
        <v>4.3</v>
      </c>
      <c r="AQ387" s="948">
        <f t="shared" si="940"/>
        <v>1.708</v>
      </c>
      <c r="AR387" s="948">
        <f t="shared" si="941"/>
        <v>0</v>
      </c>
      <c r="AS387" s="948">
        <f t="shared" si="942"/>
        <v>0</v>
      </c>
      <c r="AT387" s="948">
        <f t="shared" si="943"/>
        <v>17.2</v>
      </c>
      <c r="AU387" s="948">
        <f t="shared" si="944"/>
        <v>17.2</v>
      </c>
      <c r="AV387" s="948">
        <f t="shared" si="945"/>
        <v>15.024000000000001</v>
      </c>
      <c r="AW387" s="948">
        <f t="shared" si="946"/>
        <v>15.024000000000001</v>
      </c>
      <c r="AX387" s="948">
        <f t="shared" si="947"/>
        <v>17.2</v>
      </c>
      <c r="AY387" s="948">
        <f t="shared" si="948"/>
        <v>17.2</v>
      </c>
      <c r="AZ387" s="948">
        <f t="shared" si="949"/>
        <v>214.35399999999998</v>
      </c>
      <c r="BA387" s="948">
        <f t="shared" si="950"/>
        <v>0</v>
      </c>
      <c r="BB387" s="948">
        <f t="shared" si="951"/>
        <v>0</v>
      </c>
      <c r="BC387" s="957">
        <f t="shared" si="952"/>
        <v>1.5786666666666667</v>
      </c>
      <c r="BD387" s="957">
        <f t="shared" si="952"/>
        <v>1.5786666666666667</v>
      </c>
      <c r="BE387" s="957">
        <f t="shared" si="952"/>
        <v>1.5786666666666667</v>
      </c>
      <c r="BF387" s="957">
        <f t="shared" si="952"/>
        <v>1.5786666666666667</v>
      </c>
      <c r="BG387" s="957">
        <f t="shared" si="952"/>
        <v>1.5786666666666667</v>
      </c>
      <c r="BH387" s="957">
        <f t="shared" si="952"/>
        <v>1.5786666666666667</v>
      </c>
      <c r="BI387" s="957">
        <f t="shared" si="952"/>
        <v>0.39466666666666667</v>
      </c>
      <c r="BJ387" s="957">
        <f t="shared" si="952"/>
        <v>0</v>
      </c>
      <c r="BK387" s="957">
        <f t="shared" si="952"/>
        <v>0</v>
      </c>
      <c r="BL387" s="948">
        <f t="shared" si="953"/>
        <v>27.153066666666664</v>
      </c>
      <c r="BM387" s="948">
        <f t="shared" si="953"/>
        <v>27.153066666666664</v>
      </c>
      <c r="BN387" s="948">
        <f t="shared" si="953"/>
        <v>23.717888000000002</v>
      </c>
      <c r="BO387" s="948">
        <f t="shared" si="953"/>
        <v>23.717888000000002</v>
      </c>
      <c r="BP387" s="948">
        <f t="shared" si="953"/>
        <v>27.153066666666664</v>
      </c>
      <c r="BQ387" s="948">
        <f t="shared" si="953"/>
        <v>27.153066666666664</v>
      </c>
      <c r="BR387" s="948">
        <f t="shared" si="953"/>
        <v>84.598378666666662</v>
      </c>
      <c r="BS387" s="948">
        <f t="shared" si="954"/>
        <v>0</v>
      </c>
      <c r="BT387" s="955">
        <f t="shared" si="955"/>
        <v>108.10710751722071</v>
      </c>
    </row>
    <row r="388" spans="1:72">
      <c r="A388" s="952">
        <v>2</v>
      </c>
      <c r="B388" s="952" t="s">
        <v>1188</v>
      </c>
      <c r="C388" s="950" t="s">
        <v>1189</v>
      </c>
      <c r="D388" s="950">
        <v>1</v>
      </c>
      <c r="E388" s="950">
        <v>1</v>
      </c>
      <c r="F388" s="948">
        <v>14</v>
      </c>
      <c r="G388" s="948">
        <v>0.3</v>
      </c>
      <c r="H388" s="948">
        <v>0.7</v>
      </c>
      <c r="I388" s="948">
        <v>0.12</v>
      </c>
      <c r="J388" s="948">
        <f t="shared" si="929"/>
        <v>0.57999999999999996</v>
      </c>
      <c r="K388" s="948">
        <f t="shared" si="956"/>
        <v>2.4359999999999999</v>
      </c>
      <c r="L388" s="948">
        <f t="shared" si="957"/>
        <v>16.239999999999998</v>
      </c>
      <c r="M388" s="952"/>
      <c r="N388" s="950">
        <v>16</v>
      </c>
      <c r="O388" s="950">
        <v>16</v>
      </c>
      <c r="P388" s="950">
        <v>16</v>
      </c>
      <c r="Q388" s="950">
        <v>16</v>
      </c>
      <c r="R388" s="950">
        <v>16</v>
      </c>
      <c r="S388" s="950">
        <v>16</v>
      </c>
      <c r="T388" s="950">
        <v>8</v>
      </c>
      <c r="U388" s="950"/>
      <c r="V388" s="950"/>
      <c r="W388" s="950">
        <v>200</v>
      </c>
      <c r="X388" s="950">
        <v>100</v>
      </c>
      <c r="Y388" s="950">
        <v>100</v>
      </c>
      <c r="Z388" s="950">
        <v>4</v>
      </c>
      <c r="AA388" s="950">
        <v>4</v>
      </c>
      <c r="AB388" s="950">
        <v>2</v>
      </c>
      <c r="AC388" s="950">
        <v>2</v>
      </c>
      <c r="AD388" s="950">
        <v>4</v>
      </c>
      <c r="AE388" s="950">
        <v>4</v>
      </c>
      <c r="AF388" s="955">
        <f t="shared" si="931"/>
        <v>18.5</v>
      </c>
      <c r="AG388" s="955">
        <f t="shared" si="932"/>
        <v>71</v>
      </c>
      <c r="AH388" s="955">
        <f t="shared" si="933"/>
        <v>36</v>
      </c>
      <c r="AI388" s="955">
        <v>0</v>
      </c>
      <c r="AJ388" s="955">
        <v>0</v>
      </c>
      <c r="AK388" s="948">
        <f t="shared" si="934"/>
        <v>4.3</v>
      </c>
      <c r="AL388" s="948">
        <f t="shared" si="935"/>
        <v>4.3</v>
      </c>
      <c r="AM388" s="948">
        <f t="shared" si="936"/>
        <v>7.5120000000000005</v>
      </c>
      <c r="AN388" s="948">
        <f t="shared" si="937"/>
        <v>7.5120000000000005</v>
      </c>
      <c r="AO388" s="948">
        <f t="shared" si="938"/>
        <v>4.3</v>
      </c>
      <c r="AP388" s="948">
        <f t="shared" si="939"/>
        <v>4.3</v>
      </c>
      <c r="AQ388" s="948">
        <f t="shared" si="940"/>
        <v>1.8080000000000001</v>
      </c>
      <c r="AR388" s="948">
        <f t="shared" si="941"/>
        <v>0</v>
      </c>
      <c r="AS388" s="948">
        <f t="shared" si="942"/>
        <v>0</v>
      </c>
      <c r="AT388" s="948">
        <f t="shared" si="943"/>
        <v>17.2</v>
      </c>
      <c r="AU388" s="948">
        <f t="shared" si="944"/>
        <v>17.2</v>
      </c>
      <c r="AV388" s="948">
        <f t="shared" si="945"/>
        <v>15.024000000000001</v>
      </c>
      <c r="AW388" s="948">
        <f t="shared" si="946"/>
        <v>15.024000000000001</v>
      </c>
      <c r="AX388" s="948">
        <f t="shared" si="947"/>
        <v>17.2</v>
      </c>
      <c r="AY388" s="948">
        <f t="shared" si="948"/>
        <v>17.2</v>
      </c>
      <c r="AZ388" s="948">
        <f t="shared" si="949"/>
        <v>226.904</v>
      </c>
      <c r="BA388" s="948">
        <f t="shared" si="950"/>
        <v>0</v>
      </c>
      <c r="BB388" s="948">
        <f t="shared" si="951"/>
        <v>0</v>
      </c>
      <c r="BC388" s="957">
        <f t="shared" si="952"/>
        <v>1.5786666666666667</v>
      </c>
      <c r="BD388" s="957">
        <f t="shared" si="952"/>
        <v>1.5786666666666667</v>
      </c>
      <c r="BE388" s="957">
        <f t="shared" si="952"/>
        <v>1.5786666666666667</v>
      </c>
      <c r="BF388" s="957">
        <f t="shared" si="952"/>
        <v>1.5786666666666667</v>
      </c>
      <c r="BG388" s="957">
        <f t="shared" si="952"/>
        <v>1.5786666666666667</v>
      </c>
      <c r="BH388" s="957">
        <f t="shared" si="952"/>
        <v>1.5786666666666667</v>
      </c>
      <c r="BI388" s="957">
        <f t="shared" si="952"/>
        <v>0.39466666666666667</v>
      </c>
      <c r="BJ388" s="957">
        <f t="shared" si="952"/>
        <v>0</v>
      </c>
      <c r="BK388" s="957">
        <f t="shared" si="952"/>
        <v>0</v>
      </c>
      <c r="BL388" s="948">
        <f t="shared" si="953"/>
        <v>27.153066666666664</v>
      </c>
      <c r="BM388" s="948">
        <f t="shared" si="953"/>
        <v>27.153066666666664</v>
      </c>
      <c r="BN388" s="948">
        <f t="shared" si="953"/>
        <v>23.717888000000002</v>
      </c>
      <c r="BO388" s="948">
        <f t="shared" si="953"/>
        <v>23.717888000000002</v>
      </c>
      <c r="BP388" s="948">
        <f t="shared" si="953"/>
        <v>27.153066666666664</v>
      </c>
      <c r="BQ388" s="948">
        <f t="shared" si="953"/>
        <v>27.153066666666664</v>
      </c>
      <c r="BR388" s="948">
        <f t="shared" si="953"/>
        <v>89.551445333333334</v>
      </c>
      <c r="BS388" s="948">
        <f t="shared" si="954"/>
        <v>0</v>
      </c>
      <c r="BT388" s="955">
        <f t="shared" si="955"/>
        <v>100.8208078817734</v>
      </c>
    </row>
    <row r="389" spans="1:72">
      <c r="A389" s="952">
        <v>3</v>
      </c>
      <c r="B389" s="952" t="s">
        <v>1170</v>
      </c>
      <c r="C389" s="950" t="s">
        <v>1190</v>
      </c>
      <c r="D389" s="950">
        <v>1</v>
      </c>
      <c r="E389" s="950">
        <v>1</v>
      </c>
      <c r="F389" s="948">
        <v>32</v>
      </c>
      <c r="G389" s="948">
        <v>0.3</v>
      </c>
      <c r="H389" s="948">
        <v>0.65</v>
      </c>
      <c r="I389" s="948">
        <v>0.12</v>
      </c>
      <c r="J389" s="948">
        <f t="shared" si="929"/>
        <v>0.53</v>
      </c>
      <c r="K389" s="948">
        <f t="shared" si="956"/>
        <v>5.0880000000000001</v>
      </c>
      <c r="L389" s="948">
        <f t="shared" si="957"/>
        <v>33.92</v>
      </c>
      <c r="M389" s="952"/>
      <c r="N389" s="950">
        <v>16</v>
      </c>
      <c r="O389" s="950">
        <v>16</v>
      </c>
      <c r="P389" s="950">
        <v>16</v>
      </c>
      <c r="Q389" s="950">
        <v>16</v>
      </c>
      <c r="R389" s="950">
        <v>16</v>
      </c>
      <c r="S389" s="950">
        <v>16</v>
      </c>
      <c r="T389" s="950">
        <v>8</v>
      </c>
      <c r="U389" s="950"/>
      <c r="V389" s="950"/>
      <c r="W389" s="950">
        <v>200</v>
      </c>
      <c r="X389" s="950">
        <v>100</v>
      </c>
      <c r="Y389" s="950">
        <v>100</v>
      </c>
      <c r="Z389" s="950">
        <v>9</v>
      </c>
      <c r="AA389" s="950">
        <v>6</v>
      </c>
      <c r="AB389" s="950">
        <v>4</v>
      </c>
      <c r="AC389" s="950">
        <v>4</v>
      </c>
      <c r="AD389" s="950">
        <v>9</v>
      </c>
      <c r="AE389" s="950">
        <v>6</v>
      </c>
      <c r="AF389" s="955">
        <f t="shared" si="931"/>
        <v>41</v>
      </c>
      <c r="AG389" s="955">
        <f t="shared" si="932"/>
        <v>161</v>
      </c>
      <c r="AH389" s="955">
        <f t="shared" si="933"/>
        <v>81</v>
      </c>
      <c r="AI389" s="955">
        <v>0</v>
      </c>
      <c r="AJ389" s="955">
        <v>0</v>
      </c>
      <c r="AK389" s="948">
        <f t="shared" si="934"/>
        <v>8.8000000000000007</v>
      </c>
      <c r="AL389" s="948">
        <f t="shared" si="935"/>
        <v>8.8000000000000007</v>
      </c>
      <c r="AM389" s="948">
        <f t="shared" si="936"/>
        <v>16.512</v>
      </c>
      <c r="AN389" s="948">
        <f t="shared" si="937"/>
        <v>16.512</v>
      </c>
      <c r="AO389" s="948">
        <f t="shared" si="938"/>
        <v>8.8000000000000007</v>
      </c>
      <c r="AP389" s="948">
        <f t="shared" si="939"/>
        <v>8.8000000000000007</v>
      </c>
      <c r="AQ389" s="948">
        <f t="shared" si="940"/>
        <v>1.708</v>
      </c>
      <c r="AR389" s="948">
        <f t="shared" si="941"/>
        <v>0</v>
      </c>
      <c r="AS389" s="948">
        <f t="shared" si="942"/>
        <v>0</v>
      </c>
      <c r="AT389" s="948">
        <f t="shared" si="943"/>
        <v>79.2</v>
      </c>
      <c r="AU389" s="948">
        <f t="shared" si="944"/>
        <v>52.800000000000004</v>
      </c>
      <c r="AV389" s="948">
        <f t="shared" si="945"/>
        <v>66.048000000000002</v>
      </c>
      <c r="AW389" s="948">
        <f t="shared" si="946"/>
        <v>66.048000000000002</v>
      </c>
      <c r="AX389" s="948">
        <f t="shared" si="947"/>
        <v>79.2</v>
      </c>
      <c r="AY389" s="948">
        <f t="shared" si="948"/>
        <v>52.800000000000004</v>
      </c>
      <c r="AZ389" s="948">
        <f t="shared" si="949"/>
        <v>483.36399999999998</v>
      </c>
      <c r="BA389" s="948">
        <f t="shared" si="950"/>
        <v>0</v>
      </c>
      <c r="BB389" s="948">
        <f t="shared" si="951"/>
        <v>0</v>
      </c>
      <c r="BC389" s="957">
        <f t="shared" si="952"/>
        <v>1.5786666666666667</v>
      </c>
      <c r="BD389" s="957">
        <f t="shared" si="952"/>
        <v>1.5786666666666667</v>
      </c>
      <c r="BE389" s="957">
        <f t="shared" si="952"/>
        <v>1.5786666666666667</v>
      </c>
      <c r="BF389" s="957">
        <f t="shared" si="952"/>
        <v>1.5786666666666667</v>
      </c>
      <c r="BG389" s="957">
        <f t="shared" si="952"/>
        <v>1.5786666666666667</v>
      </c>
      <c r="BH389" s="957">
        <f t="shared" si="952"/>
        <v>1.5786666666666667</v>
      </c>
      <c r="BI389" s="957">
        <f t="shared" si="952"/>
        <v>0.39466666666666667</v>
      </c>
      <c r="BJ389" s="957">
        <f t="shared" si="952"/>
        <v>0</v>
      </c>
      <c r="BK389" s="957">
        <f t="shared" si="952"/>
        <v>0</v>
      </c>
      <c r="BL389" s="948">
        <f t="shared" si="953"/>
        <v>125.0304</v>
      </c>
      <c r="BM389" s="948">
        <f t="shared" si="953"/>
        <v>83.3536</v>
      </c>
      <c r="BN389" s="948">
        <f t="shared" si="953"/>
        <v>104.267776</v>
      </c>
      <c r="BO389" s="948">
        <f t="shared" si="953"/>
        <v>104.267776</v>
      </c>
      <c r="BP389" s="948">
        <f t="shared" si="953"/>
        <v>125.0304</v>
      </c>
      <c r="BQ389" s="948">
        <f t="shared" si="953"/>
        <v>83.3536</v>
      </c>
      <c r="BR389" s="948">
        <f t="shared" si="953"/>
        <v>190.76765866666665</v>
      </c>
      <c r="BS389" s="948">
        <f t="shared" si="954"/>
        <v>0</v>
      </c>
      <c r="BT389" s="955">
        <f t="shared" si="955"/>
        <v>160.39135429769394</v>
      </c>
    </row>
    <row r="390" spans="1:72">
      <c r="A390" s="952">
        <v>4</v>
      </c>
      <c r="B390" s="952" t="s">
        <v>1183</v>
      </c>
      <c r="C390" s="950" t="s">
        <v>1191</v>
      </c>
      <c r="D390" s="950">
        <v>1</v>
      </c>
      <c r="E390" s="950">
        <v>1</v>
      </c>
      <c r="F390" s="948">
        <v>24</v>
      </c>
      <c r="G390" s="948">
        <v>0.3</v>
      </c>
      <c r="H390" s="948">
        <v>0.65</v>
      </c>
      <c r="I390" s="948">
        <v>0.12</v>
      </c>
      <c r="J390" s="948">
        <f t="shared" si="929"/>
        <v>0.53</v>
      </c>
      <c r="K390" s="948">
        <f t="shared" si="956"/>
        <v>3.8159999999999998</v>
      </c>
      <c r="L390" s="948">
        <f t="shared" si="957"/>
        <v>25.44</v>
      </c>
      <c r="M390" s="952"/>
      <c r="N390" s="950">
        <v>25</v>
      </c>
      <c r="O390" s="950">
        <v>25</v>
      </c>
      <c r="P390" s="950">
        <v>25</v>
      </c>
      <c r="Q390" s="950">
        <v>25</v>
      </c>
      <c r="R390" s="950">
        <v>25</v>
      </c>
      <c r="S390" s="950">
        <v>25</v>
      </c>
      <c r="T390" s="950">
        <v>8</v>
      </c>
      <c r="U390" s="950"/>
      <c r="V390" s="950"/>
      <c r="W390" s="950">
        <v>200</v>
      </c>
      <c r="X390" s="950">
        <v>100</v>
      </c>
      <c r="Y390" s="950">
        <v>100</v>
      </c>
      <c r="Z390" s="950">
        <v>9</v>
      </c>
      <c r="AA390" s="950">
        <v>6</v>
      </c>
      <c r="AB390" s="950">
        <v>4</v>
      </c>
      <c r="AC390" s="950">
        <v>4</v>
      </c>
      <c r="AD390" s="950">
        <v>9</v>
      </c>
      <c r="AE390" s="950">
        <v>6</v>
      </c>
      <c r="AF390" s="955">
        <f t="shared" si="931"/>
        <v>31</v>
      </c>
      <c r="AG390" s="955">
        <f t="shared" si="932"/>
        <v>121</v>
      </c>
      <c r="AH390" s="955">
        <f t="shared" si="933"/>
        <v>61</v>
      </c>
      <c r="AI390" s="955">
        <v>0</v>
      </c>
      <c r="AJ390" s="955">
        <v>0</v>
      </c>
      <c r="AK390" s="948">
        <f t="shared" si="934"/>
        <v>7.25</v>
      </c>
      <c r="AL390" s="948">
        <f t="shared" si="935"/>
        <v>7.25</v>
      </c>
      <c r="AM390" s="948">
        <f t="shared" si="936"/>
        <v>12.8</v>
      </c>
      <c r="AN390" s="948">
        <f t="shared" si="937"/>
        <v>12.8</v>
      </c>
      <c r="AO390" s="948">
        <f t="shared" si="938"/>
        <v>7.25</v>
      </c>
      <c r="AP390" s="948">
        <f t="shared" si="939"/>
        <v>7.25</v>
      </c>
      <c r="AQ390" s="948">
        <f t="shared" si="940"/>
        <v>1.708</v>
      </c>
      <c r="AR390" s="948">
        <f t="shared" si="941"/>
        <v>0</v>
      </c>
      <c r="AS390" s="948">
        <f t="shared" si="942"/>
        <v>0</v>
      </c>
      <c r="AT390" s="948">
        <f t="shared" si="943"/>
        <v>65.25</v>
      </c>
      <c r="AU390" s="948">
        <f t="shared" si="944"/>
        <v>43.5</v>
      </c>
      <c r="AV390" s="948">
        <f t="shared" si="945"/>
        <v>51.2</v>
      </c>
      <c r="AW390" s="948">
        <f t="shared" si="946"/>
        <v>51.2</v>
      </c>
      <c r="AX390" s="948">
        <f t="shared" si="947"/>
        <v>65.25</v>
      </c>
      <c r="AY390" s="948">
        <f t="shared" si="948"/>
        <v>43.5</v>
      </c>
      <c r="AZ390" s="948">
        <f t="shared" si="949"/>
        <v>363.80399999999997</v>
      </c>
      <c r="BA390" s="948">
        <f t="shared" si="950"/>
        <v>0</v>
      </c>
      <c r="BB390" s="948">
        <f t="shared" si="951"/>
        <v>0</v>
      </c>
      <c r="BC390" s="957">
        <f t="shared" si="952"/>
        <v>3.8541666666666665</v>
      </c>
      <c r="BD390" s="957">
        <f t="shared" si="952"/>
        <v>3.8541666666666665</v>
      </c>
      <c r="BE390" s="957">
        <f t="shared" si="952"/>
        <v>3.8541666666666665</v>
      </c>
      <c r="BF390" s="957">
        <f t="shared" si="952"/>
        <v>3.8541666666666665</v>
      </c>
      <c r="BG390" s="957">
        <f t="shared" si="952"/>
        <v>3.8541666666666665</v>
      </c>
      <c r="BH390" s="957">
        <f t="shared" si="952"/>
        <v>3.8541666666666665</v>
      </c>
      <c r="BI390" s="957">
        <f t="shared" si="952"/>
        <v>0.39466666666666667</v>
      </c>
      <c r="BJ390" s="957">
        <f t="shared" si="952"/>
        <v>0</v>
      </c>
      <c r="BK390" s="957">
        <f t="shared" si="952"/>
        <v>0</v>
      </c>
      <c r="BL390" s="948">
        <f t="shared" si="953"/>
        <v>251.484375</v>
      </c>
      <c r="BM390" s="948">
        <f t="shared" si="953"/>
        <v>167.65625</v>
      </c>
      <c r="BN390" s="948">
        <f t="shared" si="953"/>
        <v>197.33333333333334</v>
      </c>
      <c r="BO390" s="948">
        <f t="shared" si="953"/>
        <v>197.33333333333334</v>
      </c>
      <c r="BP390" s="948">
        <f t="shared" si="953"/>
        <v>251.484375</v>
      </c>
      <c r="BQ390" s="948">
        <f t="shared" si="953"/>
        <v>167.65625</v>
      </c>
      <c r="BR390" s="948">
        <f t="shared" si="953"/>
        <v>143.581312</v>
      </c>
      <c r="BS390" s="948">
        <f t="shared" si="954"/>
        <v>0</v>
      </c>
      <c r="BT390" s="955">
        <f t="shared" si="955"/>
        <v>360.72568885394833</v>
      </c>
    </row>
    <row r="391" spans="1:72">
      <c r="A391" s="952">
        <v>5</v>
      </c>
      <c r="B391" s="952" t="s">
        <v>1173</v>
      </c>
      <c r="C391" s="950" t="s">
        <v>1174</v>
      </c>
      <c r="D391" s="950">
        <v>1</v>
      </c>
      <c r="E391" s="950">
        <v>1</v>
      </c>
      <c r="F391" s="948">
        <v>5.4</v>
      </c>
      <c r="G391" s="948">
        <v>0.3</v>
      </c>
      <c r="H391" s="948">
        <v>0.65</v>
      </c>
      <c r="I391" s="948">
        <v>0.12</v>
      </c>
      <c r="J391" s="948">
        <f t="shared" si="929"/>
        <v>0.53</v>
      </c>
      <c r="K391" s="948">
        <f t="shared" si="956"/>
        <v>0.85860000000000014</v>
      </c>
      <c r="L391" s="948">
        <f t="shared" si="957"/>
        <v>5.7240000000000011</v>
      </c>
      <c r="M391" s="952"/>
      <c r="N391" s="950">
        <v>16</v>
      </c>
      <c r="O391" s="950">
        <v>16</v>
      </c>
      <c r="P391" s="950">
        <v>16</v>
      </c>
      <c r="Q391" s="950">
        <v>16</v>
      </c>
      <c r="R391" s="950">
        <v>16</v>
      </c>
      <c r="S391" s="950">
        <v>16</v>
      </c>
      <c r="T391" s="950">
        <v>8</v>
      </c>
      <c r="U391" s="950"/>
      <c r="V391" s="950"/>
      <c r="W391" s="950">
        <v>200</v>
      </c>
      <c r="X391" s="950">
        <v>100</v>
      </c>
      <c r="Y391" s="950">
        <v>100</v>
      </c>
      <c r="Z391" s="950">
        <v>9</v>
      </c>
      <c r="AA391" s="950">
        <v>6</v>
      </c>
      <c r="AB391" s="950">
        <v>4</v>
      </c>
      <c r="AC391" s="950">
        <v>4</v>
      </c>
      <c r="AD391" s="950">
        <v>9</v>
      </c>
      <c r="AE391" s="950">
        <v>6</v>
      </c>
      <c r="AF391" s="955">
        <f t="shared" si="931"/>
        <v>7.75</v>
      </c>
      <c r="AG391" s="955">
        <f t="shared" si="932"/>
        <v>28</v>
      </c>
      <c r="AH391" s="955">
        <f t="shared" si="933"/>
        <v>14.5</v>
      </c>
      <c r="AI391" s="955">
        <v>0</v>
      </c>
      <c r="AJ391" s="955">
        <v>0</v>
      </c>
      <c r="AK391" s="948">
        <f t="shared" si="934"/>
        <v>2.1500000000000004</v>
      </c>
      <c r="AL391" s="948">
        <f t="shared" si="935"/>
        <v>2.1500000000000004</v>
      </c>
      <c r="AM391" s="948">
        <f t="shared" si="936"/>
        <v>3.2120000000000002</v>
      </c>
      <c r="AN391" s="948">
        <f t="shared" si="937"/>
        <v>3.2120000000000002</v>
      </c>
      <c r="AO391" s="948">
        <f t="shared" si="938"/>
        <v>2.1500000000000004</v>
      </c>
      <c r="AP391" s="948">
        <f t="shared" si="939"/>
        <v>2.1500000000000004</v>
      </c>
      <c r="AQ391" s="948">
        <f t="shared" si="940"/>
        <v>1.708</v>
      </c>
      <c r="AR391" s="948">
        <f t="shared" si="941"/>
        <v>0</v>
      </c>
      <c r="AS391" s="948">
        <f t="shared" si="942"/>
        <v>0</v>
      </c>
      <c r="AT391" s="948">
        <f t="shared" si="943"/>
        <v>19.350000000000001</v>
      </c>
      <c r="AU391" s="948">
        <f t="shared" si="944"/>
        <v>12.900000000000002</v>
      </c>
      <c r="AV391" s="948">
        <f t="shared" si="945"/>
        <v>12.848000000000001</v>
      </c>
      <c r="AW391" s="948">
        <f t="shared" si="946"/>
        <v>12.848000000000001</v>
      </c>
      <c r="AX391" s="948">
        <f t="shared" si="947"/>
        <v>19.350000000000001</v>
      </c>
      <c r="AY391" s="948">
        <f t="shared" si="948"/>
        <v>12.900000000000002</v>
      </c>
      <c r="AZ391" s="948">
        <f t="shared" si="949"/>
        <v>85.826999999999998</v>
      </c>
      <c r="BA391" s="948">
        <f t="shared" si="950"/>
        <v>0</v>
      </c>
      <c r="BB391" s="948">
        <f t="shared" si="951"/>
        <v>0</v>
      </c>
      <c r="BC391" s="957">
        <f t="shared" si="952"/>
        <v>1.5786666666666667</v>
      </c>
      <c r="BD391" s="957">
        <f t="shared" si="952"/>
        <v>1.5786666666666667</v>
      </c>
      <c r="BE391" s="957">
        <f t="shared" si="952"/>
        <v>1.5786666666666667</v>
      </c>
      <c r="BF391" s="957">
        <f t="shared" si="952"/>
        <v>1.5786666666666667</v>
      </c>
      <c r="BG391" s="957">
        <f t="shared" si="952"/>
        <v>1.5786666666666667</v>
      </c>
      <c r="BH391" s="957">
        <f t="shared" si="952"/>
        <v>1.5786666666666667</v>
      </c>
      <c r="BI391" s="957">
        <f t="shared" si="952"/>
        <v>0.39466666666666667</v>
      </c>
      <c r="BJ391" s="957">
        <f t="shared" si="952"/>
        <v>0</v>
      </c>
      <c r="BK391" s="957">
        <f t="shared" si="952"/>
        <v>0</v>
      </c>
      <c r="BL391" s="948">
        <f t="shared" si="953"/>
        <v>30.547200000000004</v>
      </c>
      <c r="BM391" s="948">
        <f t="shared" si="953"/>
        <v>20.364800000000002</v>
      </c>
      <c r="BN391" s="948">
        <f t="shared" si="953"/>
        <v>20.282709333333333</v>
      </c>
      <c r="BO391" s="948">
        <f t="shared" si="953"/>
        <v>20.282709333333333</v>
      </c>
      <c r="BP391" s="948">
        <f t="shared" si="953"/>
        <v>30.547200000000004</v>
      </c>
      <c r="BQ391" s="948">
        <f t="shared" si="953"/>
        <v>20.364800000000002</v>
      </c>
      <c r="BR391" s="948">
        <f t="shared" si="953"/>
        <v>33.873055999999998</v>
      </c>
      <c r="BS391" s="948">
        <f t="shared" si="954"/>
        <v>0</v>
      </c>
      <c r="BT391" s="955">
        <f t="shared" si="955"/>
        <v>205.29055982607341</v>
      </c>
    </row>
    <row r="392" spans="1:72">
      <c r="A392" s="952">
        <v>6</v>
      </c>
      <c r="B392" s="952" t="s">
        <v>1192</v>
      </c>
      <c r="C392" s="950" t="s">
        <v>1193</v>
      </c>
      <c r="D392" s="950">
        <v>1</v>
      </c>
      <c r="E392" s="950">
        <v>1</v>
      </c>
      <c r="F392" s="948">
        <v>14</v>
      </c>
      <c r="G392" s="948">
        <v>0.3</v>
      </c>
      <c r="H392" s="948">
        <v>0.7</v>
      </c>
      <c r="I392" s="948">
        <v>0.12</v>
      </c>
      <c r="J392" s="948">
        <f t="shared" si="929"/>
        <v>0.57999999999999996</v>
      </c>
      <c r="K392" s="948">
        <f t="shared" si="956"/>
        <v>2.4359999999999999</v>
      </c>
      <c r="L392" s="948">
        <f t="shared" si="957"/>
        <v>16.239999999999998</v>
      </c>
      <c r="M392" s="952"/>
      <c r="N392" s="950">
        <v>25</v>
      </c>
      <c r="O392" s="950">
        <v>25</v>
      </c>
      <c r="P392" s="950">
        <v>25</v>
      </c>
      <c r="Q392" s="950">
        <v>25</v>
      </c>
      <c r="R392" s="950">
        <v>25</v>
      </c>
      <c r="S392" s="950">
        <v>25</v>
      </c>
      <c r="T392" s="950">
        <v>8</v>
      </c>
      <c r="U392" s="950"/>
      <c r="V392" s="950"/>
      <c r="W392" s="950">
        <v>200</v>
      </c>
      <c r="X392" s="950">
        <v>100</v>
      </c>
      <c r="Y392" s="950">
        <v>100</v>
      </c>
      <c r="Z392" s="950">
        <v>9</v>
      </c>
      <c r="AA392" s="950">
        <v>6</v>
      </c>
      <c r="AB392" s="950">
        <v>4</v>
      </c>
      <c r="AC392" s="950">
        <v>4</v>
      </c>
      <c r="AD392" s="950">
        <v>9</v>
      </c>
      <c r="AE392" s="950">
        <v>6</v>
      </c>
      <c r="AF392" s="955">
        <f t="shared" si="931"/>
        <v>18.5</v>
      </c>
      <c r="AG392" s="955">
        <f t="shared" si="932"/>
        <v>71</v>
      </c>
      <c r="AH392" s="955">
        <f t="shared" si="933"/>
        <v>36</v>
      </c>
      <c r="AI392" s="955">
        <v>0</v>
      </c>
      <c r="AJ392" s="955">
        <v>0</v>
      </c>
      <c r="AK392" s="948">
        <f t="shared" si="934"/>
        <v>4.75</v>
      </c>
      <c r="AL392" s="948">
        <f t="shared" si="935"/>
        <v>4.75</v>
      </c>
      <c r="AM392" s="948">
        <f t="shared" si="936"/>
        <v>7.8</v>
      </c>
      <c r="AN392" s="948">
        <f t="shared" si="937"/>
        <v>7.8</v>
      </c>
      <c r="AO392" s="948">
        <f t="shared" si="938"/>
        <v>4.75</v>
      </c>
      <c r="AP392" s="948">
        <f t="shared" si="939"/>
        <v>4.75</v>
      </c>
      <c r="AQ392" s="948">
        <f t="shared" si="940"/>
        <v>1.8080000000000001</v>
      </c>
      <c r="AR392" s="948">
        <f t="shared" si="941"/>
        <v>0</v>
      </c>
      <c r="AS392" s="948">
        <f t="shared" si="942"/>
        <v>0</v>
      </c>
      <c r="AT392" s="948">
        <f t="shared" si="943"/>
        <v>42.75</v>
      </c>
      <c r="AU392" s="948">
        <f t="shared" si="944"/>
        <v>28.5</v>
      </c>
      <c r="AV392" s="948">
        <f t="shared" si="945"/>
        <v>31.2</v>
      </c>
      <c r="AW392" s="948">
        <f t="shared" si="946"/>
        <v>31.2</v>
      </c>
      <c r="AX392" s="948">
        <f t="shared" si="947"/>
        <v>42.75</v>
      </c>
      <c r="AY392" s="948">
        <f t="shared" si="948"/>
        <v>28.5</v>
      </c>
      <c r="AZ392" s="948">
        <f t="shared" si="949"/>
        <v>226.904</v>
      </c>
      <c r="BA392" s="948">
        <f t="shared" si="950"/>
        <v>0</v>
      </c>
      <c r="BB392" s="948">
        <f t="shared" si="951"/>
        <v>0</v>
      </c>
      <c r="BC392" s="957">
        <f t="shared" si="952"/>
        <v>3.8541666666666665</v>
      </c>
      <c r="BD392" s="957">
        <f t="shared" si="952"/>
        <v>3.8541666666666665</v>
      </c>
      <c r="BE392" s="957">
        <f t="shared" si="952"/>
        <v>3.8541666666666665</v>
      </c>
      <c r="BF392" s="957">
        <f t="shared" si="952"/>
        <v>3.8541666666666665</v>
      </c>
      <c r="BG392" s="957">
        <f t="shared" si="952"/>
        <v>3.8541666666666665</v>
      </c>
      <c r="BH392" s="957">
        <f t="shared" si="952"/>
        <v>3.8541666666666665</v>
      </c>
      <c r="BI392" s="957">
        <f t="shared" si="952"/>
        <v>0.39466666666666667</v>
      </c>
      <c r="BJ392" s="957">
        <f t="shared" si="952"/>
        <v>0</v>
      </c>
      <c r="BK392" s="957">
        <f t="shared" si="952"/>
        <v>0</v>
      </c>
      <c r="BL392" s="948">
        <f t="shared" si="953"/>
        <v>164.765625</v>
      </c>
      <c r="BM392" s="948">
        <f t="shared" si="953"/>
        <v>109.84375</v>
      </c>
      <c r="BN392" s="948">
        <f t="shared" si="953"/>
        <v>120.24999999999999</v>
      </c>
      <c r="BO392" s="948">
        <f t="shared" si="953"/>
        <v>120.24999999999999</v>
      </c>
      <c r="BP392" s="948">
        <f t="shared" si="953"/>
        <v>164.765625</v>
      </c>
      <c r="BQ392" s="948">
        <f t="shared" si="953"/>
        <v>109.84375</v>
      </c>
      <c r="BR392" s="948">
        <f t="shared" si="953"/>
        <v>89.551445333333334</v>
      </c>
      <c r="BS392" s="948">
        <f t="shared" si="954"/>
        <v>0</v>
      </c>
      <c r="BT392" s="955">
        <f t="shared" si="955"/>
        <v>360.94835604816637</v>
      </c>
    </row>
    <row r="393" spans="1:72">
      <c r="A393" s="952">
        <v>7</v>
      </c>
      <c r="B393" s="952" t="s">
        <v>1177</v>
      </c>
      <c r="C393" s="950" t="s">
        <v>1099</v>
      </c>
      <c r="D393" s="950">
        <v>1</v>
      </c>
      <c r="E393" s="950">
        <v>1</v>
      </c>
      <c r="F393" s="948">
        <v>4.75</v>
      </c>
      <c r="G393" s="948">
        <v>0.25</v>
      </c>
      <c r="H393" s="948">
        <v>0.6</v>
      </c>
      <c r="I393" s="948">
        <v>0.12</v>
      </c>
      <c r="J393" s="948">
        <v>0.48</v>
      </c>
      <c r="K393" s="948">
        <v>0.64800000000000002</v>
      </c>
      <c r="L393" s="948">
        <v>5.1840000000000002</v>
      </c>
      <c r="M393" s="952"/>
      <c r="N393" s="950">
        <v>16</v>
      </c>
      <c r="O393" s="950">
        <v>16</v>
      </c>
      <c r="P393" s="950">
        <v>16</v>
      </c>
      <c r="Q393" s="950">
        <v>16</v>
      </c>
      <c r="R393" s="950">
        <v>16</v>
      </c>
      <c r="S393" s="950">
        <v>16</v>
      </c>
      <c r="T393" s="950">
        <v>8</v>
      </c>
      <c r="U393" s="950"/>
      <c r="V393" s="950"/>
      <c r="W393" s="950">
        <v>200</v>
      </c>
      <c r="X393" s="950">
        <v>100</v>
      </c>
      <c r="Y393" s="950">
        <v>100</v>
      </c>
      <c r="Z393" s="950">
        <v>9</v>
      </c>
      <c r="AA393" s="950">
        <v>6</v>
      </c>
      <c r="AB393" s="950">
        <v>4</v>
      </c>
      <c r="AC393" s="950">
        <v>4</v>
      </c>
      <c r="AD393" s="950">
        <v>9</v>
      </c>
      <c r="AE393" s="950">
        <v>6</v>
      </c>
      <c r="AF393" s="955">
        <v>7.75</v>
      </c>
      <c r="AG393" s="955">
        <v>28</v>
      </c>
      <c r="AH393" s="955">
        <v>14.5</v>
      </c>
      <c r="AI393" s="955">
        <v>0</v>
      </c>
      <c r="AJ393" s="955">
        <v>0</v>
      </c>
      <c r="AK393" s="948">
        <v>2.1500000000000004</v>
      </c>
      <c r="AL393" s="948">
        <v>2.1500000000000004</v>
      </c>
      <c r="AM393" s="948">
        <v>3.2120000000000002</v>
      </c>
      <c r="AN393" s="948">
        <v>3.2120000000000002</v>
      </c>
      <c r="AO393" s="948">
        <v>2.1500000000000004</v>
      </c>
      <c r="AP393" s="948">
        <v>2.1500000000000004</v>
      </c>
      <c r="AQ393" s="948">
        <v>1.508</v>
      </c>
      <c r="AR393" s="948">
        <v>0</v>
      </c>
      <c r="AS393" s="948">
        <v>0</v>
      </c>
      <c r="AT393" s="948">
        <v>19.350000000000001</v>
      </c>
      <c r="AU393" s="948">
        <v>12.900000000000002</v>
      </c>
      <c r="AV393" s="948">
        <v>12.848000000000001</v>
      </c>
      <c r="AW393" s="948">
        <v>12.848000000000001</v>
      </c>
      <c r="AX393" s="948">
        <v>19.350000000000001</v>
      </c>
      <c r="AY393" s="948">
        <v>12.900000000000002</v>
      </c>
      <c r="AZ393" s="948">
        <v>75.777000000000001</v>
      </c>
      <c r="BA393" s="948">
        <v>0</v>
      </c>
      <c r="BB393" s="948">
        <v>0</v>
      </c>
      <c r="BC393" s="957">
        <v>1.5786666666666667</v>
      </c>
      <c r="BD393" s="957">
        <v>1.5786666666666667</v>
      </c>
      <c r="BE393" s="957">
        <v>1.5786666666666667</v>
      </c>
      <c r="BF393" s="957">
        <v>1.5786666666666667</v>
      </c>
      <c r="BG393" s="957">
        <v>1.5786666666666667</v>
      </c>
      <c r="BH393" s="957">
        <v>1.5786666666666667</v>
      </c>
      <c r="BI393" s="957">
        <v>0.39466666666666667</v>
      </c>
      <c r="BJ393" s="957">
        <v>0</v>
      </c>
      <c r="BK393" s="957">
        <v>0</v>
      </c>
      <c r="BL393" s="948">
        <v>30.547200000000004</v>
      </c>
      <c r="BM393" s="948">
        <v>20.364800000000002</v>
      </c>
      <c r="BN393" s="948">
        <v>20.282709333333333</v>
      </c>
      <c r="BO393" s="948">
        <v>20.282709333333333</v>
      </c>
      <c r="BP393" s="948">
        <v>30.547200000000004</v>
      </c>
      <c r="BQ393" s="948">
        <v>20.364800000000002</v>
      </c>
      <c r="BR393" s="948">
        <v>29.906656000000002</v>
      </c>
      <c r="BS393" s="948">
        <v>0</v>
      </c>
      <c r="BT393" s="955">
        <v>265.88900411522633</v>
      </c>
    </row>
    <row r="394" spans="1:72">
      <c r="A394" s="952">
        <v>8</v>
      </c>
      <c r="B394" s="952" t="s">
        <v>1179</v>
      </c>
      <c r="C394" s="950" t="s">
        <v>1125</v>
      </c>
      <c r="D394" s="950">
        <v>1</v>
      </c>
      <c r="E394" s="950">
        <v>1</v>
      </c>
      <c r="F394" s="948">
        <v>8</v>
      </c>
      <c r="G394" s="948">
        <v>0.3</v>
      </c>
      <c r="H394" s="948">
        <v>0.65</v>
      </c>
      <c r="I394" s="948">
        <v>0.12</v>
      </c>
      <c r="J394" s="948">
        <f t="shared" ref="J394:J397" si="958">H394-I394</f>
        <v>0.53</v>
      </c>
      <c r="K394" s="948">
        <f t="shared" ref="K394:K397" si="959">F394*G394*J394*D394*E394</f>
        <v>1.272</v>
      </c>
      <c r="L394" s="948">
        <f t="shared" ref="L394:L397" si="960">(2*J394)*F394*E394*D394</f>
        <v>8.48</v>
      </c>
      <c r="M394" s="952"/>
      <c r="N394" s="950">
        <v>16</v>
      </c>
      <c r="O394" s="950">
        <v>16</v>
      </c>
      <c r="P394" s="950">
        <v>16</v>
      </c>
      <c r="Q394" s="950">
        <v>16</v>
      </c>
      <c r="R394" s="950">
        <v>16</v>
      </c>
      <c r="S394" s="950">
        <v>16</v>
      </c>
      <c r="T394" s="950">
        <v>8</v>
      </c>
      <c r="U394" s="950"/>
      <c r="V394" s="950"/>
      <c r="W394" s="950">
        <v>200</v>
      </c>
      <c r="X394" s="950">
        <v>100</v>
      </c>
      <c r="Y394" s="950">
        <v>100</v>
      </c>
      <c r="Z394" s="950">
        <v>9</v>
      </c>
      <c r="AA394" s="950">
        <v>6</v>
      </c>
      <c r="AB394" s="950">
        <v>4</v>
      </c>
      <c r="AC394" s="950">
        <v>4</v>
      </c>
      <c r="AD394" s="950">
        <v>9</v>
      </c>
      <c r="AE394" s="950">
        <v>6</v>
      </c>
      <c r="AF394" s="955">
        <f t="shared" ref="AF394:AF397" si="961">(F394/4)/(W394/1000)+1</f>
        <v>11</v>
      </c>
      <c r="AG394" s="955">
        <f t="shared" ref="AG394:AG397" si="962">(F394/2)/(X394/1000)+1</f>
        <v>41</v>
      </c>
      <c r="AH394" s="955">
        <f t="shared" ref="AH394:AH397" si="963">(F394/4)/(Y394/1000)+1</f>
        <v>21</v>
      </c>
      <c r="AI394" s="955">
        <v>0</v>
      </c>
      <c r="AJ394" s="955">
        <v>0</v>
      </c>
      <c r="AK394" s="948">
        <f t="shared" ref="AK394:AK397" si="964">(F394/4)+(20*N394/1000)+(10*N394/1000)+(8*N394/1000)+(6*2*N394/1000)</f>
        <v>2.8000000000000003</v>
      </c>
      <c r="AL394" s="948">
        <f t="shared" ref="AL394:AL397" si="965">(F394/4)+(20*O394/1000)+(10*O394/1000)+(8*O394/1000)+(6*2*O394/1000)</f>
        <v>2.8000000000000003</v>
      </c>
      <c r="AM394" s="948">
        <f t="shared" ref="AM394:AM397" si="966">(F394/2)+(20*P394/1000)+(6*2*P394/1000)</f>
        <v>4.5120000000000005</v>
      </c>
      <c r="AN394" s="948">
        <f t="shared" ref="AN394:AN397" si="967">(F394/2)+(20*Q394/1000)+(6*2*Q394/1000)</f>
        <v>4.5120000000000005</v>
      </c>
      <c r="AO394" s="948">
        <f t="shared" ref="AO394:AO397" si="968">(F394/4)+(20*R394/1000)+(10*R394/1000)+(8*R394/1000)+(6*2*R394/1000)</f>
        <v>2.8000000000000003</v>
      </c>
      <c r="AP394" s="948">
        <f t="shared" ref="AP394:AP397" si="969">(F394/4)+(20*S394/1000)+(10*S394/1000)+(8*S394/1000)+(6*2*S394/1000)</f>
        <v>2.8000000000000003</v>
      </c>
      <c r="AQ394" s="948">
        <f t="shared" ref="AQ394:AQ397" si="970">(2*G394)+(2*H394)+(6*T394/1000)-(8*0.03)</f>
        <v>1.708</v>
      </c>
      <c r="AR394" s="948">
        <f t="shared" ref="AR394:AR397" si="971">((H394)+(2*6*U394/1000)-(2*0.03))*AI394</f>
        <v>0</v>
      </c>
      <c r="AS394" s="948">
        <f t="shared" ref="AS394:AS397" si="972">((G394)+(2*6*V394/1000)-(2*0.03))*AJ394</f>
        <v>0</v>
      </c>
      <c r="AT394" s="948">
        <f t="shared" ref="AT394:AT397" si="973">AK394*Z394*E394*D394</f>
        <v>25.200000000000003</v>
      </c>
      <c r="AU394" s="948">
        <f t="shared" ref="AU394:AU397" si="974">AL394*AA394*E394*D394</f>
        <v>16.8</v>
      </c>
      <c r="AV394" s="948">
        <f t="shared" ref="AV394:AV397" si="975">AM394*AB394*E394*D394</f>
        <v>18.048000000000002</v>
      </c>
      <c r="AW394" s="948">
        <f t="shared" ref="AW394:AW397" si="976">AN394*AC394*E394*D394</f>
        <v>18.048000000000002</v>
      </c>
      <c r="AX394" s="948">
        <f t="shared" ref="AX394:AX397" si="977">AO394*AD394*E394*D394</f>
        <v>25.200000000000003</v>
      </c>
      <c r="AY394" s="948">
        <f t="shared" ref="AY394:AY397" si="978">AP394*AE394*E394*D394</f>
        <v>16.8</v>
      </c>
      <c r="AZ394" s="948">
        <f t="shared" ref="AZ394:AZ397" si="979">AQ394*(AF394+AG394+AH394)*E394*D394</f>
        <v>124.684</v>
      </c>
      <c r="BA394" s="948">
        <f t="shared" ref="BA394:BA397" si="980">AR394*(AF394+AG394+AH394)*E394*D394</f>
        <v>0</v>
      </c>
      <c r="BB394" s="948">
        <f t="shared" ref="BB394:BB397" si="981">AS394*(AF394+AG394+AH394)*E394*D394</f>
        <v>0</v>
      </c>
      <c r="BC394" s="957">
        <f t="shared" ref="BC394:BK397" si="982">N394*N394*0.074/12</f>
        <v>1.5786666666666667</v>
      </c>
      <c r="BD394" s="957">
        <f t="shared" si="982"/>
        <v>1.5786666666666667</v>
      </c>
      <c r="BE394" s="957">
        <f t="shared" si="982"/>
        <v>1.5786666666666667</v>
      </c>
      <c r="BF394" s="957">
        <f t="shared" si="982"/>
        <v>1.5786666666666667</v>
      </c>
      <c r="BG394" s="957">
        <f t="shared" si="982"/>
        <v>1.5786666666666667</v>
      </c>
      <c r="BH394" s="957">
        <f t="shared" si="982"/>
        <v>1.5786666666666667</v>
      </c>
      <c r="BI394" s="957">
        <f t="shared" si="982"/>
        <v>0.39466666666666667</v>
      </c>
      <c r="BJ394" s="957">
        <f t="shared" si="982"/>
        <v>0</v>
      </c>
      <c r="BK394" s="957">
        <f t="shared" si="982"/>
        <v>0</v>
      </c>
      <c r="BL394" s="948">
        <f t="shared" ref="BL394:BR397" si="983">AT394*BC394</f>
        <v>39.782400000000003</v>
      </c>
      <c r="BM394" s="948">
        <f t="shared" si="983"/>
        <v>26.521599999999999</v>
      </c>
      <c r="BN394" s="948">
        <f t="shared" si="983"/>
        <v>28.491776000000002</v>
      </c>
      <c r="BO394" s="948">
        <f t="shared" si="983"/>
        <v>28.491776000000002</v>
      </c>
      <c r="BP394" s="948">
        <f t="shared" si="983"/>
        <v>39.782400000000003</v>
      </c>
      <c r="BQ394" s="948">
        <f t="shared" si="983"/>
        <v>26.521599999999999</v>
      </c>
      <c r="BR394" s="948">
        <f t="shared" si="983"/>
        <v>49.208618666666666</v>
      </c>
      <c r="BS394" s="948">
        <f>BB394*BK394</f>
        <v>0</v>
      </c>
      <c r="BT394" s="955">
        <f>SUM(BL394:BS394)/K394</f>
        <v>187.73598322851154</v>
      </c>
    </row>
    <row r="395" spans="1:72">
      <c r="A395" s="952">
        <v>9</v>
      </c>
      <c r="B395" s="952" t="s">
        <v>1180</v>
      </c>
      <c r="C395" s="950" t="s">
        <v>1127</v>
      </c>
      <c r="D395" s="950">
        <v>1</v>
      </c>
      <c r="E395" s="950">
        <v>1</v>
      </c>
      <c r="F395" s="948">
        <v>8.4</v>
      </c>
      <c r="G395" s="948">
        <v>0.3</v>
      </c>
      <c r="H395" s="948">
        <v>0.65</v>
      </c>
      <c r="I395" s="948">
        <v>0.12</v>
      </c>
      <c r="J395" s="948">
        <f t="shared" si="958"/>
        <v>0.53</v>
      </c>
      <c r="K395" s="948">
        <f t="shared" si="959"/>
        <v>1.3356000000000001</v>
      </c>
      <c r="L395" s="948">
        <f t="shared" si="960"/>
        <v>8.9040000000000017</v>
      </c>
      <c r="M395" s="952"/>
      <c r="N395" s="950">
        <v>16</v>
      </c>
      <c r="O395" s="950">
        <v>16</v>
      </c>
      <c r="P395" s="950">
        <v>16</v>
      </c>
      <c r="Q395" s="950">
        <v>16</v>
      </c>
      <c r="R395" s="950">
        <v>16</v>
      </c>
      <c r="S395" s="950">
        <v>16</v>
      </c>
      <c r="T395" s="950">
        <v>8</v>
      </c>
      <c r="U395" s="950"/>
      <c r="V395" s="950"/>
      <c r="W395" s="950">
        <v>200</v>
      </c>
      <c r="X395" s="950">
        <v>100</v>
      </c>
      <c r="Y395" s="950">
        <v>100</v>
      </c>
      <c r="Z395" s="950">
        <v>9</v>
      </c>
      <c r="AA395" s="950">
        <v>6</v>
      </c>
      <c r="AB395" s="950">
        <v>4</v>
      </c>
      <c r="AC395" s="950">
        <v>4</v>
      </c>
      <c r="AD395" s="950">
        <v>9</v>
      </c>
      <c r="AE395" s="950">
        <v>6</v>
      </c>
      <c r="AF395" s="955">
        <f t="shared" si="961"/>
        <v>11.5</v>
      </c>
      <c r="AG395" s="955">
        <f t="shared" si="962"/>
        <v>43</v>
      </c>
      <c r="AH395" s="955">
        <f t="shared" si="963"/>
        <v>22</v>
      </c>
      <c r="AI395" s="955">
        <v>0</v>
      </c>
      <c r="AJ395" s="955">
        <v>0</v>
      </c>
      <c r="AK395" s="948">
        <f t="shared" si="964"/>
        <v>2.9000000000000004</v>
      </c>
      <c r="AL395" s="948">
        <f t="shared" si="965"/>
        <v>2.9000000000000004</v>
      </c>
      <c r="AM395" s="948">
        <f t="shared" si="966"/>
        <v>4.7120000000000006</v>
      </c>
      <c r="AN395" s="948">
        <f t="shared" si="967"/>
        <v>4.7120000000000006</v>
      </c>
      <c r="AO395" s="948">
        <f t="shared" si="968"/>
        <v>2.9000000000000004</v>
      </c>
      <c r="AP395" s="948">
        <f t="shared" si="969"/>
        <v>2.9000000000000004</v>
      </c>
      <c r="AQ395" s="948">
        <f t="shared" si="970"/>
        <v>1.708</v>
      </c>
      <c r="AR395" s="948">
        <f t="shared" si="971"/>
        <v>0</v>
      </c>
      <c r="AS395" s="948">
        <f t="shared" si="972"/>
        <v>0</v>
      </c>
      <c r="AT395" s="948">
        <f t="shared" si="973"/>
        <v>26.1</v>
      </c>
      <c r="AU395" s="948">
        <f t="shared" si="974"/>
        <v>17.400000000000002</v>
      </c>
      <c r="AV395" s="948">
        <f t="shared" si="975"/>
        <v>18.848000000000003</v>
      </c>
      <c r="AW395" s="948">
        <f t="shared" si="976"/>
        <v>18.848000000000003</v>
      </c>
      <c r="AX395" s="948">
        <f t="shared" si="977"/>
        <v>26.1</v>
      </c>
      <c r="AY395" s="948">
        <f t="shared" si="978"/>
        <v>17.400000000000002</v>
      </c>
      <c r="AZ395" s="948">
        <f t="shared" si="979"/>
        <v>130.66200000000001</v>
      </c>
      <c r="BA395" s="948">
        <f t="shared" si="980"/>
        <v>0</v>
      </c>
      <c r="BB395" s="948">
        <f t="shared" si="981"/>
        <v>0</v>
      </c>
      <c r="BC395" s="957">
        <f t="shared" si="982"/>
        <v>1.5786666666666667</v>
      </c>
      <c r="BD395" s="957">
        <f t="shared" si="982"/>
        <v>1.5786666666666667</v>
      </c>
      <c r="BE395" s="957">
        <f t="shared" si="982"/>
        <v>1.5786666666666667</v>
      </c>
      <c r="BF395" s="957">
        <f t="shared" si="982"/>
        <v>1.5786666666666667</v>
      </c>
      <c r="BG395" s="957">
        <f t="shared" si="982"/>
        <v>1.5786666666666667</v>
      </c>
      <c r="BH395" s="957">
        <f t="shared" si="982"/>
        <v>1.5786666666666667</v>
      </c>
      <c r="BI395" s="957">
        <f t="shared" si="982"/>
        <v>0.39466666666666667</v>
      </c>
      <c r="BJ395" s="957">
        <f t="shared" si="982"/>
        <v>0</v>
      </c>
      <c r="BK395" s="957">
        <f t="shared" si="982"/>
        <v>0</v>
      </c>
      <c r="BL395" s="948">
        <f t="shared" si="983"/>
        <v>41.203200000000002</v>
      </c>
      <c r="BM395" s="948">
        <f t="shared" si="983"/>
        <v>27.468800000000002</v>
      </c>
      <c r="BN395" s="948">
        <f t="shared" si="983"/>
        <v>29.754709333333338</v>
      </c>
      <c r="BO395" s="948">
        <f t="shared" si="983"/>
        <v>29.754709333333338</v>
      </c>
      <c r="BP395" s="948">
        <f t="shared" si="983"/>
        <v>41.203200000000002</v>
      </c>
      <c r="BQ395" s="948">
        <f t="shared" si="983"/>
        <v>27.468800000000002</v>
      </c>
      <c r="BR395" s="948">
        <f t="shared" si="983"/>
        <v>51.567936000000003</v>
      </c>
      <c r="BS395" s="948">
        <f>BB395*BK395</f>
        <v>0</v>
      </c>
      <c r="BT395" s="955">
        <f>SUM(BL395:BS395)/K395</f>
        <v>185.99981631226916</v>
      </c>
    </row>
    <row r="396" spans="1:72">
      <c r="A396" s="952">
        <v>10</v>
      </c>
      <c r="B396" s="952" t="s">
        <v>1194</v>
      </c>
      <c r="C396" s="950" t="s">
        <v>1195</v>
      </c>
      <c r="D396" s="950">
        <v>1</v>
      </c>
      <c r="E396" s="950">
        <v>1</v>
      </c>
      <c r="F396" s="948">
        <v>12</v>
      </c>
      <c r="G396" s="948">
        <v>0.35</v>
      </c>
      <c r="H396" s="948">
        <v>0.8</v>
      </c>
      <c r="I396" s="948">
        <v>0.12</v>
      </c>
      <c r="J396" s="948">
        <f t="shared" si="958"/>
        <v>0.68</v>
      </c>
      <c r="K396" s="948">
        <f t="shared" si="959"/>
        <v>2.8559999999999999</v>
      </c>
      <c r="L396" s="948">
        <f t="shared" si="960"/>
        <v>16.32</v>
      </c>
      <c r="M396" s="952"/>
      <c r="N396" s="950">
        <v>25</v>
      </c>
      <c r="O396" s="950">
        <v>25</v>
      </c>
      <c r="P396" s="950">
        <v>25</v>
      </c>
      <c r="Q396" s="950">
        <v>25</v>
      </c>
      <c r="R396" s="950">
        <v>25</v>
      </c>
      <c r="S396" s="950">
        <v>25</v>
      </c>
      <c r="T396" s="950">
        <v>8</v>
      </c>
      <c r="U396" s="950"/>
      <c r="V396" s="950"/>
      <c r="W396" s="950">
        <v>200</v>
      </c>
      <c r="X396" s="950">
        <v>100</v>
      </c>
      <c r="Y396" s="950">
        <v>100</v>
      </c>
      <c r="Z396" s="950">
        <v>9</v>
      </c>
      <c r="AA396" s="950">
        <v>6</v>
      </c>
      <c r="AB396" s="950">
        <v>4</v>
      </c>
      <c r="AC396" s="950">
        <v>4</v>
      </c>
      <c r="AD396" s="950">
        <v>9</v>
      </c>
      <c r="AE396" s="950">
        <v>6</v>
      </c>
      <c r="AF396" s="955">
        <f t="shared" si="961"/>
        <v>16</v>
      </c>
      <c r="AG396" s="955">
        <f t="shared" si="962"/>
        <v>61</v>
      </c>
      <c r="AH396" s="955">
        <f t="shared" si="963"/>
        <v>31</v>
      </c>
      <c r="AI396" s="955">
        <v>0</v>
      </c>
      <c r="AJ396" s="955">
        <v>0</v>
      </c>
      <c r="AK396" s="948">
        <f t="shared" si="964"/>
        <v>4.25</v>
      </c>
      <c r="AL396" s="948">
        <f t="shared" si="965"/>
        <v>4.25</v>
      </c>
      <c r="AM396" s="948">
        <f t="shared" si="966"/>
        <v>6.8</v>
      </c>
      <c r="AN396" s="948">
        <f t="shared" si="967"/>
        <v>6.8</v>
      </c>
      <c r="AO396" s="948">
        <f t="shared" si="968"/>
        <v>4.25</v>
      </c>
      <c r="AP396" s="948">
        <f t="shared" si="969"/>
        <v>4.25</v>
      </c>
      <c r="AQ396" s="948">
        <f t="shared" si="970"/>
        <v>2.1079999999999997</v>
      </c>
      <c r="AR396" s="948">
        <f t="shared" si="971"/>
        <v>0</v>
      </c>
      <c r="AS396" s="948">
        <f t="shared" si="972"/>
        <v>0</v>
      </c>
      <c r="AT396" s="948">
        <f t="shared" si="973"/>
        <v>38.25</v>
      </c>
      <c r="AU396" s="948">
        <f t="shared" si="974"/>
        <v>25.5</v>
      </c>
      <c r="AV396" s="948">
        <f t="shared" si="975"/>
        <v>27.2</v>
      </c>
      <c r="AW396" s="948">
        <f t="shared" si="976"/>
        <v>27.2</v>
      </c>
      <c r="AX396" s="948">
        <f t="shared" si="977"/>
        <v>38.25</v>
      </c>
      <c r="AY396" s="948">
        <f t="shared" si="978"/>
        <v>25.5</v>
      </c>
      <c r="AZ396" s="948">
        <f t="shared" si="979"/>
        <v>227.66399999999996</v>
      </c>
      <c r="BA396" s="948">
        <f t="shared" si="980"/>
        <v>0</v>
      </c>
      <c r="BB396" s="948">
        <f t="shared" si="981"/>
        <v>0</v>
      </c>
      <c r="BC396" s="957">
        <f t="shared" si="982"/>
        <v>3.8541666666666665</v>
      </c>
      <c r="BD396" s="957">
        <f t="shared" si="982"/>
        <v>3.8541666666666665</v>
      </c>
      <c r="BE396" s="957">
        <f t="shared" si="982"/>
        <v>3.8541666666666665</v>
      </c>
      <c r="BF396" s="957">
        <f t="shared" si="982"/>
        <v>3.8541666666666665</v>
      </c>
      <c r="BG396" s="957">
        <f t="shared" si="982"/>
        <v>3.8541666666666665</v>
      </c>
      <c r="BH396" s="957">
        <f t="shared" si="982"/>
        <v>3.8541666666666665</v>
      </c>
      <c r="BI396" s="957">
        <f t="shared" si="982"/>
        <v>0.39466666666666667</v>
      </c>
      <c r="BJ396" s="957">
        <f t="shared" si="982"/>
        <v>0</v>
      </c>
      <c r="BK396" s="957">
        <f t="shared" si="982"/>
        <v>0</v>
      </c>
      <c r="BL396" s="948">
        <f t="shared" si="983"/>
        <v>147.421875</v>
      </c>
      <c r="BM396" s="948">
        <f t="shared" si="983"/>
        <v>98.28125</v>
      </c>
      <c r="BN396" s="948">
        <f t="shared" si="983"/>
        <v>104.83333333333333</v>
      </c>
      <c r="BO396" s="948">
        <f t="shared" si="983"/>
        <v>104.83333333333333</v>
      </c>
      <c r="BP396" s="948">
        <f t="shared" si="983"/>
        <v>147.421875</v>
      </c>
      <c r="BQ396" s="948">
        <f t="shared" si="983"/>
        <v>98.28125</v>
      </c>
      <c r="BR396" s="948">
        <f t="shared" si="983"/>
        <v>89.85139199999999</v>
      </c>
      <c r="BS396" s="948">
        <f>BB396*BK396</f>
        <v>0</v>
      </c>
      <c r="BT396" s="955">
        <f>SUM(BL396:BS396)/K396</f>
        <v>276.93428174603173</v>
      </c>
    </row>
    <row r="397" spans="1:72">
      <c r="A397" s="952">
        <v>11</v>
      </c>
      <c r="B397" s="952" t="s">
        <v>1196</v>
      </c>
      <c r="C397" s="950" t="s">
        <v>1197</v>
      </c>
      <c r="D397" s="950">
        <v>1</v>
      </c>
      <c r="E397" s="950">
        <v>1</v>
      </c>
      <c r="F397" s="948">
        <v>16</v>
      </c>
      <c r="G397" s="948">
        <v>0.3</v>
      </c>
      <c r="H397" s="948">
        <v>0.7</v>
      </c>
      <c r="I397" s="948">
        <v>0.12</v>
      </c>
      <c r="J397" s="948">
        <f t="shared" si="958"/>
        <v>0.57999999999999996</v>
      </c>
      <c r="K397" s="948">
        <f t="shared" si="959"/>
        <v>2.7839999999999998</v>
      </c>
      <c r="L397" s="948">
        <f t="shared" si="960"/>
        <v>18.559999999999999</v>
      </c>
      <c r="M397" s="952"/>
      <c r="N397" s="950">
        <v>16</v>
      </c>
      <c r="O397" s="950">
        <v>16</v>
      </c>
      <c r="P397" s="950">
        <v>16</v>
      </c>
      <c r="Q397" s="950">
        <v>16</v>
      </c>
      <c r="R397" s="950">
        <v>16</v>
      </c>
      <c r="S397" s="950">
        <v>16</v>
      </c>
      <c r="T397" s="950">
        <v>8</v>
      </c>
      <c r="U397" s="950"/>
      <c r="V397" s="950"/>
      <c r="W397" s="950">
        <v>200</v>
      </c>
      <c r="X397" s="950">
        <v>100</v>
      </c>
      <c r="Y397" s="950">
        <v>100</v>
      </c>
      <c r="Z397" s="950">
        <v>9</v>
      </c>
      <c r="AA397" s="950">
        <v>6</v>
      </c>
      <c r="AB397" s="950">
        <v>4</v>
      </c>
      <c r="AC397" s="950">
        <v>4</v>
      </c>
      <c r="AD397" s="950">
        <v>9</v>
      </c>
      <c r="AE397" s="950">
        <v>6</v>
      </c>
      <c r="AF397" s="955">
        <f t="shared" si="961"/>
        <v>21</v>
      </c>
      <c r="AG397" s="955">
        <f t="shared" si="962"/>
        <v>81</v>
      </c>
      <c r="AH397" s="955">
        <f t="shared" si="963"/>
        <v>41</v>
      </c>
      <c r="AI397" s="955">
        <v>0</v>
      </c>
      <c r="AJ397" s="955">
        <v>0</v>
      </c>
      <c r="AK397" s="948">
        <f t="shared" si="964"/>
        <v>4.8000000000000007</v>
      </c>
      <c r="AL397" s="948">
        <f t="shared" si="965"/>
        <v>4.8000000000000007</v>
      </c>
      <c r="AM397" s="948">
        <f t="shared" si="966"/>
        <v>8.5120000000000005</v>
      </c>
      <c r="AN397" s="948">
        <f t="shared" si="967"/>
        <v>8.5120000000000005</v>
      </c>
      <c r="AO397" s="948">
        <f t="shared" si="968"/>
        <v>4.8000000000000007</v>
      </c>
      <c r="AP397" s="948">
        <f t="shared" si="969"/>
        <v>4.8000000000000007</v>
      </c>
      <c r="AQ397" s="948">
        <f t="shared" si="970"/>
        <v>1.8080000000000001</v>
      </c>
      <c r="AR397" s="948">
        <f t="shared" si="971"/>
        <v>0</v>
      </c>
      <c r="AS397" s="948">
        <f t="shared" si="972"/>
        <v>0</v>
      </c>
      <c r="AT397" s="948">
        <f t="shared" si="973"/>
        <v>43.2</v>
      </c>
      <c r="AU397" s="948">
        <f t="shared" si="974"/>
        <v>28.800000000000004</v>
      </c>
      <c r="AV397" s="948">
        <f t="shared" si="975"/>
        <v>34.048000000000002</v>
      </c>
      <c r="AW397" s="948">
        <f t="shared" si="976"/>
        <v>34.048000000000002</v>
      </c>
      <c r="AX397" s="948">
        <f t="shared" si="977"/>
        <v>43.2</v>
      </c>
      <c r="AY397" s="948">
        <f t="shared" si="978"/>
        <v>28.800000000000004</v>
      </c>
      <c r="AZ397" s="948">
        <f t="shared" si="979"/>
        <v>258.54399999999998</v>
      </c>
      <c r="BA397" s="948">
        <f t="shared" si="980"/>
        <v>0</v>
      </c>
      <c r="BB397" s="948">
        <f t="shared" si="981"/>
        <v>0</v>
      </c>
      <c r="BC397" s="957">
        <f t="shared" si="982"/>
        <v>1.5786666666666667</v>
      </c>
      <c r="BD397" s="957">
        <f t="shared" si="982"/>
        <v>1.5786666666666667</v>
      </c>
      <c r="BE397" s="957">
        <f t="shared" si="982"/>
        <v>1.5786666666666667</v>
      </c>
      <c r="BF397" s="957">
        <f t="shared" si="982"/>
        <v>1.5786666666666667</v>
      </c>
      <c r="BG397" s="957">
        <f t="shared" si="982"/>
        <v>1.5786666666666667</v>
      </c>
      <c r="BH397" s="957">
        <f t="shared" si="982"/>
        <v>1.5786666666666667</v>
      </c>
      <c r="BI397" s="957">
        <f t="shared" si="982"/>
        <v>0.39466666666666667</v>
      </c>
      <c r="BJ397" s="957">
        <f t="shared" si="982"/>
        <v>0</v>
      </c>
      <c r="BK397" s="957">
        <f t="shared" si="982"/>
        <v>0</v>
      </c>
      <c r="BL397" s="948">
        <f t="shared" si="983"/>
        <v>68.198400000000007</v>
      </c>
      <c r="BM397" s="948">
        <f t="shared" si="983"/>
        <v>45.465600000000009</v>
      </c>
      <c r="BN397" s="948">
        <f t="shared" si="983"/>
        <v>53.750442666666672</v>
      </c>
      <c r="BO397" s="948">
        <f t="shared" si="983"/>
        <v>53.750442666666672</v>
      </c>
      <c r="BP397" s="948">
        <f t="shared" si="983"/>
        <v>68.198400000000007</v>
      </c>
      <c r="BQ397" s="948">
        <f t="shared" si="983"/>
        <v>45.465600000000009</v>
      </c>
      <c r="BR397" s="948">
        <f t="shared" si="983"/>
        <v>102.03869866666666</v>
      </c>
      <c r="BS397" s="948">
        <f>BB397*BK397</f>
        <v>0</v>
      </c>
      <c r="BT397" s="955">
        <f>SUM(BL397:BS397)/K397</f>
        <v>156.92082758620691</v>
      </c>
    </row>
    <row r="398" spans="1:72">
      <c r="A398" s="952"/>
      <c r="B398" s="952"/>
      <c r="C398" s="950"/>
      <c r="D398" s="950"/>
      <c r="E398" s="950"/>
      <c r="F398" s="948"/>
      <c r="G398" s="948"/>
      <c r="H398" s="948"/>
      <c r="I398" s="948"/>
      <c r="J398" s="948"/>
      <c r="K398" s="948">
        <f>SUM(K379:K397)</f>
        <v>68.524200000000022</v>
      </c>
      <c r="L398" s="948">
        <f>SUM(L379:L397)</f>
        <v>484.51200000000006</v>
      </c>
      <c r="M398" s="952"/>
      <c r="N398" s="950"/>
      <c r="O398" s="950"/>
      <c r="P398" s="950"/>
      <c r="Q398" s="950"/>
      <c r="R398" s="950"/>
      <c r="S398" s="950"/>
      <c r="T398" s="950"/>
      <c r="U398" s="950"/>
      <c r="V398" s="950"/>
      <c r="W398" s="950"/>
      <c r="X398" s="950"/>
      <c r="Y398" s="950"/>
      <c r="Z398" s="950"/>
      <c r="AA398" s="950"/>
      <c r="AB398" s="950"/>
      <c r="AC398" s="950"/>
      <c r="AD398" s="950"/>
      <c r="AE398" s="950"/>
      <c r="AF398" s="955"/>
      <c r="AG398" s="955"/>
      <c r="AH398" s="955"/>
      <c r="AI398" s="955"/>
      <c r="AJ398" s="955"/>
      <c r="AK398" s="948"/>
      <c r="AL398" s="948"/>
      <c r="AM398" s="948"/>
      <c r="AN398" s="948"/>
      <c r="AO398" s="948"/>
      <c r="AP398" s="948"/>
      <c r="AQ398" s="948"/>
      <c r="AR398" s="948"/>
      <c r="AS398" s="948"/>
      <c r="AT398" s="948"/>
      <c r="AU398" s="948"/>
      <c r="AV398" s="948"/>
      <c r="AW398" s="948"/>
      <c r="AX398" s="948"/>
      <c r="AY398" s="948"/>
      <c r="AZ398" s="948"/>
      <c r="BA398" s="948"/>
      <c r="BB398" s="948"/>
      <c r="BC398" s="957"/>
      <c r="BD398" s="957"/>
      <c r="BE398" s="957"/>
      <c r="BF398" s="957"/>
      <c r="BG398" s="957"/>
      <c r="BH398" s="957"/>
      <c r="BI398" s="957"/>
      <c r="BJ398" s="957"/>
      <c r="BK398" s="957"/>
      <c r="BL398" s="948"/>
      <c r="BM398" s="948"/>
      <c r="BN398" s="948"/>
      <c r="BO398" s="948"/>
      <c r="BP398" s="948"/>
      <c r="BQ398" s="948"/>
      <c r="BR398" s="948"/>
      <c r="BS398" s="948"/>
      <c r="BT398" s="955"/>
    </row>
    <row r="399" spans="1:72">
      <c r="A399" s="949" t="s">
        <v>66</v>
      </c>
      <c r="B399" s="949" t="s">
        <v>1050</v>
      </c>
      <c r="C399" s="949" t="s">
        <v>983</v>
      </c>
      <c r="D399" s="950" t="s">
        <v>1051</v>
      </c>
      <c r="E399" s="950" t="s">
        <v>1052</v>
      </c>
      <c r="F399" s="951" t="s">
        <v>984</v>
      </c>
      <c r="G399" s="951"/>
      <c r="H399" s="951"/>
      <c r="I399" s="948" t="s">
        <v>985</v>
      </c>
      <c r="J399" s="948" t="s">
        <v>1053</v>
      </c>
      <c r="K399" s="948" t="s">
        <v>392</v>
      </c>
      <c r="L399" s="948" t="s">
        <v>377</v>
      </c>
      <c r="M399" s="952"/>
      <c r="N399" s="949" t="s">
        <v>1054</v>
      </c>
      <c r="O399" s="949"/>
      <c r="P399" s="949"/>
      <c r="Q399" s="949"/>
      <c r="R399" s="949"/>
      <c r="S399" s="949"/>
      <c r="T399" s="949" t="s">
        <v>1055</v>
      </c>
      <c r="U399" s="949"/>
      <c r="V399" s="949"/>
      <c r="W399" s="949" t="s">
        <v>989</v>
      </c>
      <c r="X399" s="949"/>
      <c r="Y399" s="949"/>
      <c r="Z399" s="949" t="s">
        <v>1056</v>
      </c>
      <c r="AA399" s="949"/>
      <c r="AB399" s="949"/>
      <c r="AC399" s="949"/>
      <c r="AD399" s="949"/>
      <c r="AE399" s="949"/>
      <c r="AF399" s="953" t="s">
        <v>1057</v>
      </c>
      <c r="AG399" s="953"/>
      <c r="AH399" s="953"/>
      <c r="AI399" s="953"/>
      <c r="AJ399" s="953"/>
      <c r="AK399" s="951" t="s">
        <v>1058</v>
      </c>
      <c r="AL399" s="951"/>
      <c r="AM399" s="951"/>
      <c r="AN399" s="951"/>
      <c r="AO399" s="951"/>
      <c r="AP399" s="951"/>
      <c r="AQ399" s="951" t="s">
        <v>1059</v>
      </c>
      <c r="AR399" s="951"/>
      <c r="AS399" s="951"/>
      <c r="AT399" s="951" t="s">
        <v>1060</v>
      </c>
      <c r="AU399" s="951"/>
      <c r="AV399" s="951"/>
      <c r="AW399" s="951"/>
      <c r="AX399" s="951"/>
      <c r="AY399" s="951"/>
      <c r="AZ399" s="951" t="s">
        <v>1061</v>
      </c>
      <c r="BA399" s="951"/>
      <c r="BB399" s="951"/>
      <c r="BC399" s="954" t="s">
        <v>1062</v>
      </c>
      <c r="BD399" s="954"/>
      <c r="BE399" s="954"/>
      <c r="BF399" s="954"/>
      <c r="BG399" s="954"/>
      <c r="BH399" s="954"/>
      <c r="BI399" s="954" t="s">
        <v>996</v>
      </c>
      <c r="BJ399" s="954"/>
      <c r="BK399" s="954"/>
      <c r="BL399" s="951" t="s">
        <v>997</v>
      </c>
      <c r="BM399" s="951"/>
      <c r="BN399" s="951"/>
      <c r="BO399" s="951"/>
      <c r="BP399" s="951"/>
      <c r="BQ399" s="951"/>
      <c r="BR399" s="951"/>
      <c r="BS399" s="951"/>
      <c r="BT399" s="955" t="s">
        <v>998</v>
      </c>
    </row>
    <row r="400" spans="1:72">
      <c r="A400" s="949"/>
      <c r="B400" s="949"/>
      <c r="C400" s="949"/>
      <c r="D400" s="949" t="s">
        <v>1063</v>
      </c>
      <c r="E400" s="949" t="s">
        <v>391</v>
      </c>
      <c r="F400" s="948" t="s">
        <v>999</v>
      </c>
      <c r="G400" s="948" t="s">
        <v>1000</v>
      </c>
      <c r="H400" s="948" t="s">
        <v>1001</v>
      </c>
      <c r="I400" s="948" t="s">
        <v>1002</v>
      </c>
      <c r="J400" s="948" t="s">
        <v>1003</v>
      </c>
      <c r="K400" s="951" t="s">
        <v>1064</v>
      </c>
      <c r="L400" s="948"/>
      <c r="M400" s="952"/>
      <c r="N400" s="949" t="s">
        <v>1001</v>
      </c>
      <c r="O400" s="949"/>
      <c r="P400" s="949" t="s">
        <v>1000</v>
      </c>
      <c r="Q400" s="949"/>
      <c r="R400" s="949" t="s">
        <v>1001</v>
      </c>
      <c r="S400" s="949"/>
      <c r="T400" s="950" t="s">
        <v>1007</v>
      </c>
      <c r="U400" s="949" t="s">
        <v>1005</v>
      </c>
      <c r="V400" s="949"/>
      <c r="W400" s="949"/>
      <c r="X400" s="949" t="s">
        <v>1000</v>
      </c>
      <c r="Y400" s="949" t="s">
        <v>1001</v>
      </c>
      <c r="Z400" s="949" t="s">
        <v>1001</v>
      </c>
      <c r="AA400" s="949"/>
      <c r="AB400" s="949" t="s">
        <v>1000</v>
      </c>
      <c r="AC400" s="949"/>
      <c r="AD400" s="949" t="s">
        <v>1001</v>
      </c>
      <c r="AE400" s="949"/>
      <c r="AF400" s="953" t="s">
        <v>1004</v>
      </c>
      <c r="AG400" s="953"/>
      <c r="AH400" s="953"/>
      <c r="AI400" s="953" t="s">
        <v>1065</v>
      </c>
      <c r="AJ400" s="953"/>
      <c r="AK400" s="951" t="s">
        <v>1001</v>
      </c>
      <c r="AL400" s="951"/>
      <c r="AM400" s="951" t="s">
        <v>1000</v>
      </c>
      <c r="AN400" s="951"/>
      <c r="AO400" s="951" t="s">
        <v>1001</v>
      </c>
      <c r="AP400" s="951"/>
      <c r="AQ400" s="951" t="s">
        <v>1004</v>
      </c>
      <c r="AR400" s="951" t="s">
        <v>1005</v>
      </c>
      <c r="AS400" s="951"/>
      <c r="AT400" s="951" t="s">
        <v>1066</v>
      </c>
      <c r="AU400" s="951"/>
      <c r="AV400" s="951" t="s">
        <v>1000</v>
      </c>
      <c r="AW400" s="951"/>
      <c r="AX400" s="951" t="s">
        <v>1001</v>
      </c>
      <c r="AY400" s="951"/>
      <c r="AZ400" s="951" t="s">
        <v>1004</v>
      </c>
      <c r="BA400" s="951" t="s">
        <v>1005</v>
      </c>
      <c r="BB400" s="951"/>
      <c r="BC400" s="953" t="s">
        <v>1001</v>
      </c>
      <c r="BD400" s="953"/>
      <c r="BE400" s="953" t="s">
        <v>1000</v>
      </c>
      <c r="BF400" s="953"/>
      <c r="BG400" s="951" t="s">
        <v>1001</v>
      </c>
      <c r="BH400" s="951"/>
      <c r="BI400" s="956" t="s">
        <v>1004</v>
      </c>
      <c r="BJ400" s="954" t="s">
        <v>1005</v>
      </c>
      <c r="BK400" s="954"/>
      <c r="BL400" s="951" t="s">
        <v>1006</v>
      </c>
      <c r="BM400" s="951"/>
      <c r="BN400" s="951"/>
      <c r="BO400" s="951"/>
      <c r="BP400" s="951"/>
      <c r="BQ400" s="951"/>
      <c r="BR400" s="951" t="s">
        <v>1067</v>
      </c>
      <c r="BS400" s="951"/>
      <c r="BT400" s="953" t="s">
        <v>1068</v>
      </c>
    </row>
    <row r="401" spans="1:72">
      <c r="A401" s="949"/>
      <c r="B401" s="949"/>
      <c r="C401" s="949" t="s">
        <v>391</v>
      </c>
      <c r="D401" s="949"/>
      <c r="E401" s="949"/>
      <c r="F401" s="948" t="s">
        <v>1069</v>
      </c>
      <c r="G401" s="948" t="s">
        <v>1069</v>
      </c>
      <c r="H401" s="948" t="s">
        <v>1069</v>
      </c>
      <c r="I401" s="948" t="s">
        <v>1069</v>
      </c>
      <c r="J401" s="948" t="s">
        <v>1069</v>
      </c>
      <c r="K401" s="951"/>
      <c r="L401" s="948" t="s">
        <v>1070</v>
      </c>
      <c r="M401" s="952"/>
      <c r="N401" s="949"/>
      <c r="O401" s="949"/>
      <c r="P401" s="949"/>
      <c r="Q401" s="949"/>
      <c r="R401" s="949"/>
      <c r="S401" s="949"/>
      <c r="T401" s="950" t="s">
        <v>1071</v>
      </c>
      <c r="U401" s="950" t="s">
        <v>1012</v>
      </c>
      <c r="V401" s="950" t="s">
        <v>494</v>
      </c>
      <c r="W401" s="949"/>
      <c r="X401" s="949"/>
      <c r="Y401" s="949"/>
      <c r="Z401" s="949"/>
      <c r="AA401" s="949"/>
      <c r="AB401" s="949"/>
      <c r="AC401" s="949"/>
      <c r="AD401" s="949"/>
      <c r="AE401" s="949"/>
      <c r="AF401" s="955" t="s">
        <v>1001</v>
      </c>
      <c r="AG401" s="955" t="s">
        <v>1000</v>
      </c>
      <c r="AH401" s="955" t="s">
        <v>1001</v>
      </c>
      <c r="AI401" s="955" t="s">
        <v>1012</v>
      </c>
      <c r="AJ401" s="955" t="s">
        <v>494</v>
      </c>
      <c r="AK401" s="951"/>
      <c r="AL401" s="951"/>
      <c r="AM401" s="951"/>
      <c r="AN401" s="951"/>
      <c r="AO401" s="951"/>
      <c r="AP401" s="951"/>
      <c r="AQ401" s="951"/>
      <c r="AR401" s="948" t="s">
        <v>1012</v>
      </c>
      <c r="AS401" s="948" t="s">
        <v>494</v>
      </c>
      <c r="AT401" s="951"/>
      <c r="AU401" s="951"/>
      <c r="AV401" s="951"/>
      <c r="AW401" s="951"/>
      <c r="AX401" s="951"/>
      <c r="AY401" s="951"/>
      <c r="AZ401" s="951"/>
      <c r="BA401" s="948" t="s">
        <v>1012</v>
      </c>
      <c r="BB401" s="948" t="s">
        <v>494</v>
      </c>
      <c r="BC401" s="953"/>
      <c r="BD401" s="953"/>
      <c r="BE401" s="953"/>
      <c r="BF401" s="953"/>
      <c r="BG401" s="951"/>
      <c r="BH401" s="951"/>
      <c r="BI401" s="957"/>
      <c r="BJ401" s="957" t="s">
        <v>1012</v>
      </c>
      <c r="BK401" s="957" t="s">
        <v>494</v>
      </c>
      <c r="BL401" s="951" t="s">
        <v>1001</v>
      </c>
      <c r="BM401" s="951"/>
      <c r="BN401" s="951" t="s">
        <v>1000</v>
      </c>
      <c r="BO401" s="951"/>
      <c r="BP401" s="951" t="s">
        <v>1001</v>
      </c>
      <c r="BQ401" s="951"/>
      <c r="BR401" s="951" t="s">
        <v>1004</v>
      </c>
      <c r="BS401" s="948"/>
      <c r="BT401" s="953"/>
    </row>
    <row r="402" spans="1:72">
      <c r="A402" s="949"/>
      <c r="B402" s="949"/>
      <c r="C402" s="949"/>
      <c r="D402" s="950" t="s">
        <v>1072</v>
      </c>
      <c r="E402" s="950" t="s">
        <v>1073</v>
      </c>
      <c r="F402" s="948" t="s">
        <v>1074</v>
      </c>
      <c r="G402" s="948" t="s">
        <v>1075</v>
      </c>
      <c r="H402" s="948" t="s">
        <v>1076</v>
      </c>
      <c r="I402" s="948" t="s">
        <v>1077</v>
      </c>
      <c r="J402" s="948" t="s">
        <v>1078</v>
      </c>
      <c r="K402" s="948" t="s">
        <v>1079</v>
      </c>
      <c r="L402" s="948" t="s">
        <v>1080</v>
      </c>
      <c r="M402" s="952"/>
      <c r="N402" s="949" t="s">
        <v>1081</v>
      </c>
      <c r="O402" s="949"/>
      <c r="P402" s="949"/>
      <c r="Q402" s="949"/>
      <c r="R402" s="949"/>
      <c r="S402" s="949"/>
      <c r="T402" s="950" t="s">
        <v>1082</v>
      </c>
      <c r="U402" s="949" t="s">
        <v>1081</v>
      </c>
      <c r="V402" s="949"/>
      <c r="W402" s="949" t="s">
        <v>1081</v>
      </c>
      <c r="X402" s="949"/>
      <c r="Y402" s="949"/>
      <c r="Z402" s="949" t="s">
        <v>1082</v>
      </c>
      <c r="AA402" s="949"/>
      <c r="AB402" s="949"/>
      <c r="AC402" s="949"/>
      <c r="AD402" s="949"/>
      <c r="AE402" s="949"/>
      <c r="AF402" s="953" t="s">
        <v>1082</v>
      </c>
      <c r="AG402" s="953"/>
      <c r="AH402" s="953"/>
      <c r="AI402" s="953"/>
      <c r="AJ402" s="953"/>
      <c r="AK402" s="951" t="s">
        <v>1069</v>
      </c>
      <c r="AL402" s="951"/>
      <c r="AM402" s="951"/>
      <c r="AN402" s="951"/>
      <c r="AO402" s="951"/>
      <c r="AP402" s="951"/>
      <c r="AQ402" s="951"/>
      <c r="AR402" s="951"/>
      <c r="AS402" s="951"/>
      <c r="AT402" s="951"/>
      <c r="AU402" s="951"/>
      <c r="AV402" s="951"/>
      <c r="AW402" s="951"/>
      <c r="AX402" s="951"/>
      <c r="AY402" s="951"/>
      <c r="AZ402" s="951"/>
      <c r="BA402" s="951"/>
      <c r="BB402" s="951"/>
      <c r="BC402" s="954"/>
      <c r="BD402" s="954"/>
      <c r="BE402" s="954"/>
      <c r="BF402" s="954"/>
      <c r="BG402" s="954"/>
      <c r="BH402" s="954"/>
      <c r="BI402" s="954"/>
      <c r="BJ402" s="954"/>
      <c r="BK402" s="954"/>
      <c r="BL402" s="951"/>
      <c r="BM402" s="951"/>
      <c r="BN402" s="951"/>
      <c r="BO402" s="951"/>
      <c r="BP402" s="951"/>
      <c r="BQ402" s="951"/>
      <c r="BR402" s="951"/>
      <c r="BS402" s="948" t="s">
        <v>494</v>
      </c>
      <c r="BT402" s="953"/>
    </row>
    <row r="403" spans="1:72">
      <c r="A403" s="952"/>
      <c r="B403" s="952"/>
      <c r="C403" s="950"/>
      <c r="D403" s="950"/>
      <c r="E403" s="950"/>
      <c r="F403" s="948"/>
      <c r="G403" s="948"/>
      <c r="H403" s="948"/>
      <c r="I403" s="948"/>
      <c r="J403" s="948"/>
      <c r="K403" s="948"/>
      <c r="L403" s="948"/>
      <c r="M403" s="952"/>
      <c r="N403" s="950"/>
      <c r="O403" s="950"/>
      <c r="P403" s="950"/>
      <c r="Q403" s="950"/>
      <c r="R403" s="950"/>
      <c r="S403" s="950"/>
      <c r="T403" s="950"/>
      <c r="U403" s="950"/>
      <c r="V403" s="950"/>
      <c r="W403" s="950"/>
      <c r="X403" s="950"/>
      <c r="Y403" s="950"/>
      <c r="Z403" s="950"/>
      <c r="AA403" s="950"/>
      <c r="AB403" s="950"/>
      <c r="AC403" s="950"/>
      <c r="AD403" s="950"/>
      <c r="AE403" s="950"/>
      <c r="AF403" s="955"/>
      <c r="AG403" s="955"/>
      <c r="AH403" s="955"/>
      <c r="AI403" s="955"/>
      <c r="AJ403" s="955"/>
      <c r="AK403" s="948"/>
      <c r="AL403" s="948"/>
      <c r="AM403" s="948"/>
      <c r="AN403" s="948"/>
      <c r="AO403" s="948"/>
      <c r="AP403" s="948"/>
      <c r="AQ403" s="948"/>
      <c r="AR403" s="948"/>
      <c r="AS403" s="948"/>
      <c r="AT403" s="948"/>
      <c r="AU403" s="948"/>
      <c r="AV403" s="948"/>
      <c r="AW403" s="948"/>
      <c r="AX403" s="948"/>
      <c r="AY403" s="948"/>
      <c r="AZ403" s="948"/>
      <c r="BA403" s="948"/>
      <c r="BB403" s="948"/>
      <c r="BC403" s="957"/>
      <c r="BD403" s="957"/>
      <c r="BE403" s="957"/>
      <c r="BF403" s="957"/>
      <c r="BG403" s="957"/>
      <c r="BH403" s="957"/>
      <c r="BI403" s="957"/>
      <c r="BJ403" s="957"/>
      <c r="BK403" s="957"/>
      <c r="BL403" s="948"/>
      <c r="BM403" s="948"/>
      <c r="BN403" s="948"/>
      <c r="BO403" s="948"/>
      <c r="BP403" s="948"/>
      <c r="BQ403" s="948"/>
      <c r="BR403" s="948"/>
      <c r="BS403" s="948"/>
      <c r="BT403" s="955"/>
    </row>
    <row r="404" spans="1:72">
      <c r="A404" s="958" t="s">
        <v>1202</v>
      </c>
      <c r="B404" s="952"/>
      <c r="C404" s="950"/>
      <c r="D404" s="950"/>
      <c r="E404" s="950"/>
      <c r="F404" s="948"/>
      <c r="G404" s="948"/>
      <c r="H404" s="948"/>
      <c r="I404" s="948"/>
      <c r="J404" s="948"/>
      <c r="K404" s="948"/>
      <c r="L404" s="948"/>
      <c r="M404" s="952"/>
      <c r="N404" s="958" t="str">
        <f>A404</f>
        <v>Balok Lantai 13</v>
      </c>
      <c r="O404" s="950"/>
      <c r="P404" s="950"/>
      <c r="Q404" s="950"/>
      <c r="R404" s="950"/>
      <c r="S404" s="950"/>
      <c r="T404" s="950"/>
      <c r="U404" s="950"/>
      <c r="V404" s="950"/>
      <c r="W404" s="950"/>
      <c r="X404" s="950"/>
      <c r="Y404" s="950"/>
      <c r="Z404" s="950"/>
      <c r="AA404" s="950"/>
      <c r="AB404" s="950"/>
      <c r="AC404" s="950"/>
      <c r="AD404" s="950"/>
      <c r="AE404" s="950"/>
      <c r="AF404" s="955"/>
      <c r="AG404" s="955"/>
      <c r="AH404" s="955"/>
      <c r="AI404" s="955"/>
      <c r="AJ404" s="955"/>
      <c r="AK404" s="948"/>
      <c r="AL404" s="948"/>
      <c r="AM404" s="948"/>
      <c r="AN404" s="948"/>
      <c r="AO404" s="948"/>
      <c r="AP404" s="948"/>
      <c r="AQ404" s="948"/>
      <c r="AR404" s="948"/>
      <c r="AS404" s="948"/>
      <c r="AT404" s="948"/>
      <c r="AU404" s="948"/>
      <c r="AV404" s="948"/>
      <c r="AW404" s="948"/>
      <c r="AX404" s="948"/>
      <c r="AY404" s="948"/>
      <c r="AZ404" s="948"/>
      <c r="BA404" s="948"/>
      <c r="BB404" s="948"/>
      <c r="BC404" s="957"/>
      <c r="BD404" s="957"/>
      <c r="BE404" s="957"/>
      <c r="BF404" s="957"/>
      <c r="BG404" s="957"/>
      <c r="BH404" s="957"/>
      <c r="BI404" s="957"/>
      <c r="BJ404" s="957"/>
      <c r="BK404" s="957"/>
      <c r="BL404" s="948"/>
      <c r="BM404" s="948"/>
      <c r="BN404" s="948"/>
      <c r="BO404" s="948"/>
      <c r="BP404" s="948"/>
      <c r="BQ404" s="948"/>
      <c r="BR404" s="948"/>
      <c r="BS404" s="948"/>
      <c r="BT404" s="955"/>
    </row>
    <row r="405" spans="1:72">
      <c r="A405" s="960" t="s">
        <v>2</v>
      </c>
      <c r="B405" s="960" t="s">
        <v>1084</v>
      </c>
      <c r="C405" s="950"/>
      <c r="D405" s="950"/>
      <c r="E405" s="950"/>
      <c r="F405" s="948"/>
      <c r="G405" s="948"/>
      <c r="H405" s="948"/>
      <c r="I405" s="948"/>
      <c r="J405" s="948"/>
      <c r="K405" s="948"/>
      <c r="L405" s="948"/>
      <c r="M405" s="952"/>
      <c r="N405" s="959" t="str">
        <f>A405</f>
        <v>A</v>
      </c>
      <c r="O405" s="959" t="str">
        <f>B405</f>
        <v>Vertikal</v>
      </c>
      <c r="P405" s="950"/>
      <c r="Q405" s="950"/>
      <c r="R405" s="950"/>
      <c r="S405" s="950"/>
      <c r="T405" s="950"/>
      <c r="U405" s="950"/>
      <c r="V405" s="950"/>
      <c r="W405" s="950"/>
      <c r="X405" s="950"/>
      <c r="Y405" s="950"/>
      <c r="Z405" s="950"/>
      <c r="AA405" s="950"/>
      <c r="AB405" s="950"/>
      <c r="AC405" s="950"/>
      <c r="AD405" s="950"/>
      <c r="AE405" s="950"/>
      <c r="AF405" s="955"/>
      <c r="AG405" s="955"/>
      <c r="AH405" s="955"/>
      <c r="AI405" s="955"/>
      <c r="AJ405" s="955"/>
      <c r="AK405" s="948"/>
      <c r="AL405" s="948"/>
      <c r="AM405" s="948"/>
      <c r="AN405" s="948"/>
      <c r="AO405" s="948"/>
      <c r="AP405" s="948"/>
      <c r="AQ405" s="948"/>
      <c r="AR405" s="948"/>
      <c r="AS405" s="948"/>
      <c r="AT405" s="948"/>
      <c r="AU405" s="948"/>
      <c r="AV405" s="948"/>
      <c r="AW405" s="948"/>
      <c r="AX405" s="948"/>
      <c r="AY405" s="948"/>
      <c r="AZ405" s="948"/>
      <c r="BA405" s="948"/>
      <c r="BB405" s="948"/>
      <c r="BC405" s="957"/>
      <c r="BD405" s="957"/>
      <c r="BE405" s="957"/>
      <c r="BF405" s="957"/>
      <c r="BG405" s="957"/>
      <c r="BH405" s="957"/>
      <c r="BI405" s="957"/>
      <c r="BJ405" s="957"/>
      <c r="BK405" s="957"/>
      <c r="BL405" s="948"/>
      <c r="BM405" s="948"/>
      <c r="BN405" s="948"/>
      <c r="BO405" s="948"/>
      <c r="BP405" s="948"/>
      <c r="BQ405" s="948"/>
      <c r="BR405" s="948"/>
      <c r="BS405" s="948"/>
      <c r="BT405" s="955"/>
    </row>
    <row r="406" spans="1:72">
      <c r="A406" s="952">
        <v>1</v>
      </c>
      <c r="B406" s="952" t="s">
        <v>1161</v>
      </c>
      <c r="C406" s="950" t="s">
        <v>1185</v>
      </c>
      <c r="D406" s="950">
        <v>1</v>
      </c>
      <c r="E406" s="950">
        <v>1</v>
      </c>
      <c r="F406" s="948">
        <v>64</v>
      </c>
      <c r="G406" s="948">
        <v>0.3</v>
      </c>
      <c r="H406" s="948">
        <v>0.65</v>
      </c>
      <c r="I406" s="948">
        <v>0.12</v>
      </c>
      <c r="J406" s="948">
        <f t="shared" ref="J406" si="984">H406-I406</f>
        <v>0.53</v>
      </c>
      <c r="K406" s="948">
        <f>F406*G406*J406*D406*E406</f>
        <v>10.176</v>
      </c>
      <c r="L406" s="948">
        <f>(2*J406)*F406*E406*D406</f>
        <v>67.84</v>
      </c>
      <c r="M406" s="952"/>
      <c r="N406" s="950">
        <v>19</v>
      </c>
      <c r="O406" s="950">
        <v>19</v>
      </c>
      <c r="P406" s="950">
        <v>19</v>
      </c>
      <c r="Q406" s="950">
        <v>19</v>
      </c>
      <c r="R406" s="950">
        <v>19</v>
      </c>
      <c r="S406" s="950">
        <v>19</v>
      </c>
      <c r="T406" s="950">
        <v>8</v>
      </c>
      <c r="U406" s="950"/>
      <c r="V406" s="950"/>
      <c r="W406" s="950">
        <v>200</v>
      </c>
      <c r="X406" s="950">
        <v>100</v>
      </c>
      <c r="Y406" s="950">
        <v>100</v>
      </c>
      <c r="Z406" s="950">
        <v>4</v>
      </c>
      <c r="AA406" s="950">
        <v>4</v>
      </c>
      <c r="AB406" s="950">
        <v>2</v>
      </c>
      <c r="AC406" s="950">
        <v>2</v>
      </c>
      <c r="AD406" s="950">
        <v>4</v>
      </c>
      <c r="AE406" s="950">
        <v>4</v>
      </c>
      <c r="AF406" s="955">
        <f t="shared" ref="AF406:AF410" si="985">(F406/4)/(W406/1000)+1</f>
        <v>81</v>
      </c>
      <c r="AG406" s="955">
        <f t="shared" ref="AG406:AG410" si="986">(F406/2)/(X406/1000)+1</f>
        <v>321</v>
      </c>
      <c r="AH406" s="955">
        <f t="shared" ref="AH406:AH410" si="987">(F406/4)/(Y406/1000)+1</f>
        <v>161</v>
      </c>
      <c r="AI406" s="955">
        <v>0</v>
      </c>
      <c r="AJ406" s="955">
        <v>0</v>
      </c>
      <c r="AK406" s="948">
        <f t="shared" ref="AK406:AK410" si="988">(F406/4)+(20*N406/1000)+(10*N406/1000)+(8*N406/1000)+(6*2*N406/1000)</f>
        <v>16.950000000000003</v>
      </c>
      <c r="AL406" s="948">
        <f t="shared" ref="AL406:AL410" si="989">(F406/4)+(20*O406/1000)+(10*O406/1000)+(8*O406/1000)+(6*2*O406/1000)</f>
        <v>16.950000000000003</v>
      </c>
      <c r="AM406" s="948">
        <f t="shared" ref="AM406:AM410" si="990">(F406/2)+(20*P406/1000)+(6*2*P406/1000)</f>
        <v>32.608000000000004</v>
      </c>
      <c r="AN406" s="948">
        <f t="shared" ref="AN406:AN410" si="991">(F406/2)+(20*Q406/1000)+(6*2*Q406/1000)</f>
        <v>32.608000000000004</v>
      </c>
      <c r="AO406" s="948">
        <f t="shared" ref="AO406:AO410" si="992">(F406/4)+(20*R406/1000)+(10*R406/1000)+(8*R406/1000)+(6*2*R406/1000)</f>
        <v>16.950000000000003</v>
      </c>
      <c r="AP406" s="948">
        <f t="shared" ref="AP406:AP410" si="993">(F406/4)+(20*S406/1000)+(10*S406/1000)+(8*S406/1000)+(6*2*S406/1000)</f>
        <v>16.950000000000003</v>
      </c>
      <c r="AQ406" s="948">
        <f t="shared" ref="AQ406:AQ410" si="994">(2*G406)+(2*H406)+(6*T406/1000)-(8*0.03)</f>
        <v>1.708</v>
      </c>
      <c r="AR406" s="948">
        <f t="shared" ref="AR406:AR410" si="995">((H406)+(2*6*U406/1000)-(2*0.03))*AI406</f>
        <v>0</v>
      </c>
      <c r="AS406" s="948">
        <f t="shared" ref="AS406:AS410" si="996">((G406)+(2*6*V406/1000)-(2*0.03))*AJ406</f>
        <v>0</v>
      </c>
      <c r="AT406" s="948">
        <f t="shared" ref="AT406:AT410" si="997">AK406*Z406*E406*D406</f>
        <v>67.800000000000011</v>
      </c>
      <c r="AU406" s="948">
        <f t="shared" ref="AU406:AU410" si="998">AL406*AA406*E406*D406</f>
        <v>67.800000000000011</v>
      </c>
      <c r="AV406" s="948">
        <f t="shared" ref="AV406:AV410" si="999">AM406*AB406*E406*D406</f>
        <v>65.216000000000008</v>
      </c>
      <c r="AW406" s="948">
        <f t="shared" ref="AW406:AW410" si="1000">AN406*AC406*E406*D406</f>
        <v>65.216000000000008</v>
      </c>
      <c r="AX406" s="948">
        <f t="shared" ref="AX406:AX410" si="1001">AO406*AD406*E406*D406</f>
        <v>67.800000000000011</v>
      </c>
      <c r="AY406" s="948">
        <f t="shared" ref="AY406:AY410" si="1002">AP406*AE406*E406*D406</f>
        <v>67.800000000000011</v>
      </c>
      <c r="AZ406" s="948">
        <f t="shared" ref="AZ406:AZ410" si="1003">AQ406*(AF406+AG406+AH406)*E406*D406</f>
        <v>961.60399999999993</v>
      </c>
      <c r="BA406" s="948">
        <f t="shared" ref="BA406:BA410" si="1004">AR406*(AF406+AG406+AH406)*E406*D406</f>
        <v>0</v>
      </c>
      <c r="BB406" s="948">
        <f t="shared" ref="BB406:BB410" si="1005">AS406*(AF406+AG406+AH406)*E406*D406</f>
        <v>0</v>
      </c>
      <c r="BC406" s="957">
        <f t="shared" ref="BC406:BK410" si="1006">N406*N406*0.074/12</f>
        <v>2.2261666666666664</v>
      </c>
      <c r="BD406" s="957">
        <f t="shared" si="1006"/>
        <v>2.2261666666666664</v>
      </c>
      <c r="BE406" s="957">
        <f t="shared" si="1006"/>
        <v>2.2261666666666664</v>
      </c>
      <c r="BF406" s="957">
        <f t="shared" si="1006"/>
        <v>2.2261666666666664</v>
      </c>
      <c r="BG406" s="957">
        <f t="shared" si="1006"/>
        <v>2.2261666666666664</v>
      </c>
      <c r="BH406" s="957">
        <f t="shared" si="1006"/>
        <v>2.2261666666666664</v>
      </c>
      <c r="BI406" s="957">
        <f t="shared" si="1006"/>
        <v>0.39466666666666667</v>
      </c>
      <c r="BJ406" s="957">
        <f t="shared" si="1006"/>
        <v>0</v>
      </c>
      <c r="BK406" s="957">
        <f t="shared" si="1006"/>
        <v>0</v>
      </c>
      <c r="BL406" s="948">
        <f t="shared" ref="BL406:BR410" si="1007">AT406*BC406</f>
        <v>150.9341</v>
      </c>
      <c r="BM406" s="948">
        <f t="shared" si="1007"/>
        <v>150.9341</v>
      </c>
      <c r="BN406" s="948">
        <f t="shared" si="1007"/>
        <v>145.18168533333335</v>
      </c>
      <c r="BO406" s="948">
        <f t="shared" si="1007"/>
        <v>145.18168533333335</v>
      </c>
      <c r="BP406" s="948">
        <f t="shared" si="1007"/>
        <v>150.9341</v>
      </c>
      <c r="BQ406" s="948">
        <f t="shared" si="1007"/>
        <v>150.9341</v>
      </c>
      <c r="BR406" s="948">
        <f t="shared" si="1007"/>
        <v>379.51304533333331</v>
      </c>
      <c r="BS406" s="948">
        <f>BB406*BK406</f>
        <v>0</v>
      </c>
      <c r="BT406" s="955">
        <f>SUM(BL406:BS406)/K406</f>
        <v>125.15849213836478</v>
      </c>
    </row>
    <row r="407" spans="1:72">
      <c r="A407" s="952">
        <v>2</v>
      </c>
      <c r="B407" s="952" t="s">
        <v>1162</v>
      </c>
      <c r="C407" s="950" t="s">
        <v>1163</v>
      </c>
      <c r="D407" s="950">
        <v>1</v>
      </c>
      <c r="E407" s="950">
        <v>1</v>
      </c>
      <c r="F407" s="948">
        <v>64</v>
      </c>
      <c r="G407" s="948">
        <v>0.25</v>
      </c>
      <c r="H407" s="948">
        <v>0.6</v>
      </c>
      <c r="I407" s="948">
        <v>0.12</v>
      </c>
      <c r="J407" s="948">
        <f>H407-I407</f>
        <v>0.48</v>
      </c>
      <c r="K407" s="948">
        <f>F407*G407*J407*D407*E407</f>
        <v>7.68</v>
      </c>
      <c r="L407" s="948">
        <f>(2*J407)*F407*E407*D407</f>
        <v>61.44</v>
      </c>
      <c r="M407" s="952"/>
      <c r="N407" s="950">
        <v>16</v>
      </c>
      <c r="O407" s="950">
        <v>16</v>
      </c>
      <c r="P407" s="950">
        <v>16</v>
      </c>
      <c r="Q407" s="950">
        <v>16</v>
      </c>
      <c r="R407" s="950">
        <v>16</v>
      </c>
      <c r="S407" s="950">
        <v>16</v>
      </c>
      <c r="T407" s="950">
        <v>8</v>
      </c>
      <c r="U407" s="950"/>
      <c r="V407" s="950"/>
      <c r="W407" s="950">
        <v>200</v>
      </c>
      <c r="X407" s="950">
        <v>100</v>
      </c>
      <c r="Y407" s="950">
        <v>100</v>
      </c>
      <c r="Z407" s="950">
        <v>4</v>
      </c>
      <c r="AA407" s="950">
        <v>4</v>
      </c>
      <c r="AB407" s="950">
        <v>2</v>
      </c>
      <c r="AC407" s="950">
        <v>2</v>
      </c>
      <c r="AD407" s="950">
        <v>4</v>
      </c>
      <c r="AE407" s="950">
        <v>4</v>
      </c>
      <c r="AF407" s="955">
        <f t="shared" si="985"/>
        <v>81</v>
      </c>
      <c r="AG407" s="955">
        <f t="shared" si="986"/>
        <v>321</v>
      </c>
      <c r="AH407" s="955">
        <f t="shared" si="987"/>
        <v>161</v>
      </c>
      <c r="AI407" s="955">
        <v>0</v>
      </c>
      <c r="AJ407" s="955">
        <v>0</v>
      </c>
      <c r="AK407" s="948">
        <f t="shared" si="988"/>
        <v>16.8</v>
      </c>
      <c r="AL407" s="948">
        <f t="shared" si="989"/>
        <v>16.8</v>
      </c>
      <c r="AM407" s="948">
        <f t="shared" si="990"/>
        <v>32.512</v>
      </c>
      <c r="AN407" s="948">
        <f t="shared" si="991"/>
        <v>32.512</v>
      </c>
      <c r="AO407" s="948">
        <f t="shared" si="992"/>
        <v>16.8</v>
      </c>
      <c r="AP407" s="948">
        <f t="shared" si="993"/>
        <v>16.8</v>
      </c>
      <c r="AQ407" s="948">
        <f t="shared" si="994"/>
        <v>1.508</v>
      </c>
      <c r="AR407" s="948">
        <f t="shared" si="995"/>
        <v>0</v>
      </c>
      <c r="AS407" s="948">
        <f t="shared" si="996"/>
        <v>0</v>
      </c>
      <c r="AT407" s="948">
        <f t="shared" si="997"/>
        <v>67.2</v>
      </c>
      <c r="AU407" s="948">
        <f t="shared" si="998"/>
        <v>67.2</v>
      </c>
      <c r="AV407" s="948">
        <f t="shared" si="999"/>
        <v>65.024000000000001</v>
      </c>
      <c r="AW407" s="948">
        <f t="shared" si="1000"/>
        <v>65.024000000000001</v>
      </c>
      <c r="AX407" s="948">
        <f t="shared" si="1001"/>
        <v>67.2</v>
      </c>
      <c r="AY407" s="948">
        <f t="shared" si="1002"/>
        <v>67.2</v>
      </c>
      <c r="AZ407" s="948">
        <f t="shared" si="1003"/>
        <v>849.00400000000002</v>
      </c>
      <c r="BA407" s="948">
        <f t="shared" si="1004"/>
        <v>0</v>
      </c>
      <c r="BB407" s="948">
        <f t="shared" si="1005"/>
        <v>0</v>
      </c>
      <c r="BC407" s="957">
        <f t="shared" si="1006"/>
        <v>1.5786666666666667</v>
      </c>
      <c r="BD407" s="957">
        <f t="shared" si="1006"/>
        <v>1.5786666666666667</v>
      </c>
      <c r="BE407" s="957">
        <f t="shared" si="1006"/>
        <v>1.5786666666666667</v>
      </c>
      <c r="BF407" s="957">
        <f t="shared" si="1006"/>
        <v>1.5786666666666667</v>
      </c>
      <c r="BG407" s="957">
        <f t="shared" si="1006"/>
        <v>1.5786666666666667</v>
      </c>
      <c r="BH407" s="957">
        <f t="shared" si="1006"/>
        <v>1.5786666666666667</v>
      </c>
      <c r="BI407" s="957">
        <f t="shared" si="1006"/>
        <v>0.39466666666666667</v>
      </c>
      <c r="BJ407" s="957">
        <f t="shared" si="1006"/>
        <v>0</v>
      </c>
      <c r="BK407" s="957">
        <f t="shared" si="1006"/>
        <v>0</v>
      </c>
      <c r="BL407" s="948">
        <f t="shared" si="1007"/>
        <v>106.0864</v>
      </c>
      <c r="BM407" s="948">
        <f t="shared" si="1007"/>
        <v>106.0864</v>
      </c>
      <c r="BN407" s="948">
        <f t="shared" si="1007"/>
        <v>102.65122133333334</v>
      </c>
      <c r="BO407" s="948">
        <f t="shared" si="1007"/>
        <v>102.65122133333334</v>
      </c>
      <c r="BP407" s="948">
        <f t="shared" si="1007"/>
        <v>106.0864</v>
      </c>
      <c r="BQ407" s="948">
        <f t="shared" si="1007"/>
        <v>106.0864</v>
      </c>
      <c r="BR407" s="948">
        <f t="shared" si="1007"/>
        <v>335.07357866666666</v>
      </c>
      <c r="BS407" s="948">
        <f>BB407*BK407</f>
        <v>0</v>
      </c>
      <c r="BT407" s="955">
        <f>SUM(BL407:BS407)/K407</f>
        <v>125.61479444444446</v>
      </c>
    </row>
    <row r="408" spans="1:72">
      <c r="A408" s="952">
        <v>3</v>
      </c>
      <c r="B408" s="952" t="s">
        <v>1092</v>
      </c>
      <c r="C408" s="950" t="s">
        <v>1093</v>
      </c>
      <c r="D408" s="950">
        <v>1</v>
      </c>
      <c r="E408" s="950">
        <v>1</v>
      </c>
      <c r="F408" s="948">
        <v>80</v>
      </c>
      <c r="G408" s="948">
        <v>0.25</v>
      </c>
      <c r="H408" s="948">
        <v>0.6</v>
      </c>
      <c r="I408" s="948">
        <v>0.12</v>
      </c>
      <c r="J408" s="948">
        <f>H408-I408</f>
        <v>0.48</v>
      </c>
      <c r="K408" s="948">
        <f>F408*G408*J408*D408*E408</f>
        <v>9.6</v>
      </c>
      <c r="L408" s="948">
        <f>(2*J408)*F408*E408*D408</f>
        <v>76.8</v>
      </c>
      <c r="M408" s="952"/>
      <c r="N408" s="950">
        <v>16</v>
      </c>
      <c r="O408" s="950">
        <v>16</v>
      </c>
      <c r="P408" s="950">
        <v>16</v>
      </c>
      <c r="Q408" s="950">
        <v>16</v>
      </c>
      <c r="R408" s="950">
        <v>16</v>
      </c>
      <c r="S408" s="950">
        <v>16</v>
      </c>
      <c r="T408" s="950">
        <v>8</v>
      </c>
      <c r="U408" s="950"/>
      <c r="V408" s="950"/>
      <c r="W408" s="950">
        <v>200</v>
      </c>
      <c r="X408" s="950">
        <v>100</v>
      </c>
      <c r="Y408" s="950">
        <v>100</v>
      </c>
      <c r="Z408" s="950">
        <v>9</v>
      </c>
      <c r="AA408" s="950">
        <v>6</v>
      </c>
      <c r="AB408" s="950">
        <v>4</v>
      </c>
      <c r="AC408" s="950">
        <v>4</v>
      </c>
      <c r="AD408" s="950">
        <v>9</v>
      </c>
      <c r="AE408" s="950">
        <v>6</v>
      </c>
      <c r="AF408" s="955">
        <f t="shared" si="985"/>
        <v>101</v>
      </c>
      <c r="AG408" s="955">
        <f t="shared" si="986"/>
        <v>401</v>
      </c>
      <c r="AH408" s="955">
        <f t="shared" si="987"/>
        <v>201</v>
      </c>
      <c r="AI408" s="955">
        <v>0</v>
      </c>
      <c r="AJ408" s="955">
        <v>0</v>
      </c>
      <c r="AK408" s="948">
        <f t="shared" si="988"/>
        <v>20.8</v>
      </c>
      <c r="AL408" s="948">
        <f t="shared" si="989"/>
        <v>20.8</v>
      </c>
      <c r="AM408" s="948">
        <f t="shared" si="990"/>
        <v>40.512</v>
      </c>
      <c r="AN408" s="948">
        <f t="shared" si="991"/>
        <v>40.512</v>
      </c>
      <c r="AO408" s="948">
        <f t="shared" si="992"/>
        <v>20.8</v>
      </c>
      <c r="AP408" s="948">
        <f t="shared" si="993"/>
        <v>20.8</v>
      </c>
      <c r="AQ408" s="948">
        <f t="shared" si="994"/>
        <v>1.508</v>
      </c>
      <c r="AR408" s="948">
        <f t="shared" si="995"/>
        <v>0</v>
      </c>
      <c r="AS408" s="948">
        <f t="shared" si="996"/>
        <v>0</v>
      </c>
      <c r="AT408" s="948">
        <f t="shared" si="997"/>
        <v>187.20000000000002</v>
      </c>
      <c r="AU408" s="948">
        <f t="shared" si="998"/>
        <v>124.80000000000001</v>
      </c>
      <c r="AV408" s="948">
        <f t="shared" si="999"/>
        <v>162.048</v>
      </c>
      <c r="AW408" s="948">
        <f t="shared" si="1000"/>
        <v>162.048</v>
      </c>
      <c r="AX408" s="948">
        <f t="shared" si="1001"/>
        <v>187.20000000000002</v>
      </c>
      <c r="AY408" s="948">
        <f t="shared" si="1002"/>
        <v>124.80000000000001</v>
      </c>
      <c r="AZ408" s="948">
        <f t="shared" si="1003"/>
        <v>1060.124</v>
      </c>
      <c r="BA408" s="948">
        <f t="shared" si="1004"/>
        <v>0</v>
      </c>
      <c r="BB408" s="948">
        <f t="shared" si="1005"/>
        <v>0</v>
      </c>
      <c r="BC408" s="957">
        <f t="shared" si="1006"/>
        <v>1.5786666666666667</v>
      </c>
      <c r="BD408" s="957">
        <f t="shared" si="1006"/>
        <v>1.5786666666666667</v>
      </c>
      <c r="BE408" s="957">
        <f t="shared" si="1006"/>
        <v>1.5786666666666667</v>
      </c>
      <c r="BF408" s="957">
        <f t="shared" si="1006"/>
        <v>1.5786666666666667</v>
      </c>
      <c r="BG408" s="957">
        <f t="shared" si="1006"/>
        <v>1.5786666666666667</v>
      </c>
      <c r="BH408" s="957">
        <f t="shared" si="1006"/>
        <v>1.5786666666666667</v>
      </c>
      <c r="BI408" s="957">
        <f t="shared" si="1006"/>
        <v>0.39466666666666667</v>
      </c>
      <c r="BJ408" s="957">
        <f t="shared" si="1006"/>
        <v>0</v>
      </c>
      <c r="BK408" s="957">
        <f t="shared" si="1006"/>
        <v>0</v>
      </c>
      <c r="BL408" s="948">
        <f t="shared" si="1007"/>
        <v>295.52640000000002</v>
      </c>
      <c r="BM408" s="948">
        <f t="shared" si="1007"/>
        <v>197.01760000000002</v>
      </c>
      <c r="BN408" s="948">
        <f t="shared" si="1007"/>
        <v>255.81977599999999</v>
      </c>
      <c r="BO408" s="948">
        <f t="shared" si="1007"/>
        <v>255.81977599999999</v>
      </c>
      <c r="BP408" s="948">
        <f t="shared" si="1007"/>
        <v>295.52640000000002</v>
      </c>
      <c r="BQ408" s="948">
        <f t="shared" si="1007"/>
        <v>197.01760000000002</v>
      </c>
      <c r="BR408" s="948">
        <f t="shared" si="1007"/>
        <v>418.39560533333332</v>
      </c>
      <c r="BS408" s="948">
        <f>BB408*BK408</f>
        <v>0</v>
      </c>
      <c r="BT408" s="955">
        <f>SUM(BL408:BS408)/K408</f>
        <v>199.49199555555555</v>
      </c>
    </row>
    <row r="409" spans="1:72">
      <c r="A409" s="952">
        <v>4</v>
      </c>
      <c r="B409" s="952" t="s">
        <v>1164</v>
      </c>
      <c r="C409" s="950" t="s">
        <v>1165</v>
      </c>
      <c r="D409" s="950">
        <v>1</v>
      </c>
      <c r="E409" s="950">
        <v>1</v>
      </c>
      <c r="F409" s="948">
        <v>80</v>
      </c>
      <c r="G409" s="948">
        <v>0.3</v>
      </c>
      <c r="H409" s="948">
        <v>0.65</v>
      </c>
      <c r="I409" s="948">
        <v>0.12</v>
      </c>
      <c r="J409" s="948">
        <f>H409-I409</f>
        <v>0.53</v>
      </c>
      <c r="K409" s="948">
        <f>F409*G409*J409*D409*E409</f>
        <v>12.72</v>
      </c>
      <c r="L409" s="948">
        <f>(2*J409)*F409*E409*D409</f>
        <v>84.800000000000011</v>
      </c>
      <c r="M409" s="952"/>
      <c r="N409" s="950">
        <v>16</v>
      </c>
      <c r="O409" s="950">
        <v>16</v>
      </c>
      <c r="P409" s="950">
        <v>16</v>
      </c>
      <c r="Q409" s="950">
        <v>16</v>
      </c>
      <c r="R409" s="950">
        <v>16</v>
      </c>
      <c r="S409" s="950">
        <v>16</v>
      </c>
      <c r="T409" s="950">
        <v>8</v>
      </c>
      <c r="U409" s="950"/>
      <c r="V409" s="950"/>
      <c r="W409" s="950">
        <v>200</v>
      </c>
      <c r="X409" s="950">
        <v>100</v>
      </c>
      <c r="Y409" s="950">
        <v>100</v>
      </c>
      <c r="Z409" s="950">
        <v>4</v>
      </c>
      <c r="AA409" s="950">
        <v>4</v>
      </c>
      <c r="AB409" s="950">
        <v>2</v>
      </c>
      <c r="AC409" s="950">
        <v>2</v>
      </c>
      <c r="AD409" s="950">
        <v>4</v>
      </c>
      <c r="AE409" s="950">
        <v>4</v>
      </c>
      <c r="AF409" s="955">
        <f t="shared" si="985"/>
        <v>101</v>
      </c>
      <c r="AG409" s="955">
        <f t="shared" si="986"/>
        <v>401</v>
      </c>
      <c r="AH409" s="955">
        <f t="shared" si="987"/>
        <v>201</v>
      </c>
      <c r="AI409" s="955">
        <v>0</v>
      </c>
      <c r="AJ409" s="955">
        <v>0</v>
      </c>
      <c r="AK409" s="948">
        <f t="shared" si="988"/>
        <v>20.8</v>
      </c>
      <c r="AL409" s="948">
        <f t="shared" si="989"/>
        <v>20.8</v>
      </c>
      <c r="AM409" s="948">
        <f t="shared" si="990"/>
        <v>40.512</v>
      </c>
      <c r="AN409" s="948">
        <f t="shared" si="991"/>
        <v>40.512</v>
      </c>
      <c r="AO409" s="948">
        <f t="shared" si="992"/>
        <v>20.8</v>
      </c>
      <c r="AP409" s="948">
        <f t="shared" si="993"/>
        <v>20.8</v>
      </c>
      <c r="AQ409" s="948">
        <f t="shared" si="994"/>
        <v>1.708</v>
      </c>
      <c r="AR409" s="948">
        <f t="shared" si="995"/>
        <v>0</v>
      </c>
      <c r="AS409" s="948">
        <f t="shared" si="996"/>
        <v>0</v>
      </c>
      <c r="AT409" s="948">
        <f t="shared" si="997"/>
        <v>83.2</v>
      </c>
      <c r="AU409" s="948">
        <f t="shared" si="998"/>
        <v>83.2</v>
      </c>
      <c r="AV409" s="948">
        <f t="shared" si="999"/>
        <v>81.024000000000001</v>
      </c>
      <c r="AW409" s="948">
        <f t="shared" si="1000"/>
        <v>81.024000000000001</v>
      </c>
      <c r="AX409" s="948">
        <f t="shared" si="1001"/>
        <v>83.2</v>
      </c>
      <c r="AY409" s="948">
        <f t="shared" si="1002"/>
        <v>83.2</v>
      </c>
      <c r="AZ409" s="948">
        <f t="shared" si="1003"/>
        <v>1200.7239999999999</v>
      </c>
      <c r="BA409" s="948">
        <f t="shared" si="1004"/>
        <v>0</v>
      </c>
      <c r="BB409" s="948">
        <f t="shared" si="1005"/>
        <v>0</v>
      </c>
      <c r="BC409" s="957">
        <f t="shared" si="1006"/>
        <v>1.5786666666666667</v>
      </c>
      <c r="BD409" s="957">
        <f t="shared" si="1006"/>
        <v>1.5786666666666667</v>
      </c>
      <c r="BE409" s="957">
        <f t="shared" si="1006"/>
        <v>1.5786666666666667</v>
      </c>
      <c r="BF409" s="957">
        <f t="shared" si="1006"/>
        <v>1.5786666666666667</v>
      </c>
      <c r="BG409" s="957">
        <f t="shared" si="1006"/>
        <v>1.5786666666666667</v>
      </c>
      <c r="BH409" s="957">
        <f t="shared" si="1006"/>
        <v>1.5786666666666667</v>
      </c>
      <c r="BI409" s="957">
        <f t="shared" si="1006"/>
        <v>0.39466666666666667</v>
      </c>
      <c r="BJ409" s="957">
        <f t="shared" si="1006"/>
        <v>0</v>
      </c>
      <c r="BK409" s="957">
        <f t="shared" si="1006"/>
        <v>0</v>
      </c>
      <c r="BL409" s="948">
        <f t="shared" si="1007"/>
        <v>131.34506666666667</v>
      </c>
      <c r="BM409" s="948">
        <f t="shared" si="1007"/>
        <v>131.34506666666667</v>
      </c>
      <c r="BN409" s="948">
        <f t="shared" si="1007"/>
        <v>127.909888</v>
      </c>
      <c r="BO409" s="948">
        <f t="shared" si="1007"/>
        <v>127.909888</v>
      </c>
      <c r="BP409" s="948">
        <f t="shared" si="1007"/>
        <v>131.34506666666667</v>
      </c>
      <c r="BQ409" s="948">
        <f t="shared" si="1007"/>
        <v>131.34506666666667</v>
      </c>
      <c r="BR409" s="948">
        <f t="shared" si="1007"/>
        <v>473.88573866666661</v>
      </c>
      <c r="BS409" s="948">
        <f>BB409*BK409</f>
        <v>0</v>
      </c>
      <c r="BT409" s="955">
        <f>SUM(BL409:BS409)/K409</f>
        <v>98.670265828092226</v>
      </c>
    </row>
    <row r="410" spans="1:72">
      <c r="A410" s="952">
        <v>5</v>
      </c>
      <c r="B410" s="952" t="s">
        <v>1166</v>
      </c>
      <c r="C410" s="950" t="s">
        <v>1103</v>
      </c>
      <c r="D410" s="950">
        <v>1</v>
      </c>
      <c r="E410" s="950">
        <v>1</v>
      </c>
      <c r="F410" s="948">
        <v>10</v>
      </c>
      <c r="G410" s="948">
        <v>0.25</v>
      </c>
      <c r="H410" s="948">
        <v>0.6</v>
      </c>
      <c r="I410" s="948">
        <v>0.12</v>
      </c>
      <c r="J410" s="948">
        <f t="shared" ref="J410" si="1008">H410-I410</f>
        <v>0.48</v>
      </c>
      <c r="K410" s="948">
        <f t="shared" ref="K410" si="1009">F410*G410*J410*D410*E410</f>
        <v>1.2</v>
      </c>
      <c r="L410" s="948">
        <f t="shared" ref="L410" si="1010">(2*J410)*F410*E410*D410+(D410*E410*F410*G410)</f>
        <v>12.1</v>
      </c>
      <c r="M410" s="952"/>
      <c r="N410" s="950">
        <v>16</v>
      </c>
      <c r="O410" s="950">
        <v>16</v>
      </c>
      <c r="P410" s="950">
        <v>16</v>
      </c>
      <c r="Q410" s="950">
        <v>16</v>
      </c>
      <c r="R410" s="950">
        <v>16</v>
      </c>
      <c r="S410" s="950">
        <v>16</v>
      </c>
      <c r="T410" s="950">
        <v>8</v>
      </c>
      <c r="U410" s="950"/>
      <c r="V410" s="950"/>
      <c r="W410" s="950">
        <v>200</v>
      </c>
      <c r="X410" s="950">
        <v>100</v>
      </c>
      <c r="Y410" s="950">
        <v>100</v>
      </c>
      <c r="Z410" s="950">
        <v>4</v>
      </c>
      <c r="AA410" s="950">
        <v>4</v>
      </c>
      <c r="AB410" s="950">
        <v>2</v>
      </c>
      <c r="AC410" s="950">
        <v>2</v>
      </c>
      <c r="AD410" s="950">
        <v>4</v>
      </c>
      <c r="AE410" s="950">
        <v>4</v>
      </c>
      <c r="AF410" s="955">
        <f t="shared" si="985"/>
        <v>13.5</v>
      </c>
      <c r="AG410" s="955">
        <f t="shared" si="986"/>
        <v>51</v>
      </c>
      <c r="AH410" s="955">
        <f t="shared" si="987"/>
        <v>26</v>
      </c>
      <c r="AI410" s="955">
        <v>0</v>
      </c>
      <c r="AJ410" s="955">
        <v>0</v>
      </c>
      <c r="AK410" s="948">
        <f t="shared" si="988"/>
        <v>3.3000000000000003</v>
      </c>
      <c r="AL410" s="948">
        <f t="shared" si="989"/>
        <v>3.3000000000000003</v>
      </c>
      <c r="AM410" s="948">
        <f t="shared" si="990"/>
        <v>5.5120000000000005</v>
      </c>
      <c r="AN410" s="948">
        <f t="shared" si="991"/>
        <v>5.5120000000000005</v>
      </c>
      <c r="AO410" s="948">
        <f t="shared" si="992"/>
        <v>3.3000000000000003</v>
      </c>
      <c r="AP410" s="948">
        <f t="shared" si="993"/>
        <v>3.3000000000000003</v>
      </c>
      <c r="AQ410" s="948">
        <f t="shared" si="994"/>
        <v>1.508</v>
      </c>
      <c r="AR410" s="948">
        <f t="shared" si="995"/>
        <v>0</v>
      </c>
      <c r="AS410" s="948">
        <f t="shared" si="996"/>
        <v>0</v>
      </c>
      <c r="AT410" s="948">
        <f t="shared" si="997"/>
        <v>13.200000000000001</v>
      </c>
      <c r="AU410" s="948">
        <f t="shared" si="998"/>
        <v>13.200000000000001</v>
      </c>
      <c r="AV410" s="948">
        <f t="shared" si="999"/>
        <v>11.024000000000001</v>
      </c>
      <c r="AW410" s="948">
        <f t="shared" si="1000"/>
        <v>11.024000000000001</v>
      </c>
      <c r="AX410" s="948">
        <f t="shared" si="1001"/>
        <v>13.200000000000001</v>
      </c>
      <c r="AY410" s="948">
        <f t="shared" si="1002"/>
        <v>13.200000000000001</v>
      </c>
      <c r="AZ410" s="948">
        <f t="shared" si="1003"/>
        <v>136.47399999999999</v>
      </c>
      <c r="BA410" s="948">
        <f t="shared" si="1004"/>
        <v>0</v>
      </c>
      <c r="BB410" s="948">
        <f t="shared" si="1005"/>
        <v>0</v>
      </c>
      <c r="BC410" s="957">
        <f t="shared" si="1006"/>
        <v>1.5786666666666667</v>
      </c>
      <c r="BD410" s="957">
        <f t="shared" si="1006"/>
        <v>1.5786666666666667</v>
      </c>
      <c r="BE410" s="957">
        <f t="shared" si="1006"/>
        <v>1.5786666666666667</v>
      </c>
      <c r="BF410" s="957">
        <f t="shared" si="1006"/>
        <v>1.5786666666666667</v>
      </c>
      <c r="BG410" s="957">
        <f t="shared" si="1006"/>
        <v>1.5786666666666667</v>
      </c>
      <c r="BH410" s="957">
        <f t="shared" si="1006"/>
        <v>1.5786666666666667</v>
      </c>
      <c r="BI410" s="957">
        <f t="shared" si="1006"/>
        <v>0.39466666666666667</v>
      </c>
      <c r="BJ410" s="957">
        <f t="shared" si="1006"/>
        <v>0</v>
      </c>
      <c r="BK410" s="957">
        <f t="shared" si="1006"/>
        <v>0</v>
      </c>
      <c r="BL410" s="948">
        <f t="shared" si="1007"/>
        <v>20.8384</v>
      </c>
      <c r="BM410" s="948">
        <f t="shared" si="1007"/>
        <v>20.8384</v>
      </c>
      <c r="BN410" s="948">
        <f t="shared" si="1007"/>
        <v>17.403221333333335</v>
      </c>
      <c r="BO410" s="948">
        <f t="shared" si="1007"/>
        <v>17.403221333333335</v>
      </c>
      <c r="BP410" s="948">
        <f t="shared" si="1007"/>
        <v>20.8384</v>
      </c>
      <c r="BQ410" s="948">
        <f t="shared" si="1007"/>
        <v>20.8384</v>
      </c>
      <c r="BR410" s="948">
        <f t="shared" si="1007"/>
        <v>53.86173866666666</v>
      </c>
      <c r="BS410" s="948">
        <f>BB410*BK410</f>
        <v>0</v>
      </c>
      <c r="BT410" s="955">
        <f>SUM(BL410:BS410)/K410</f>
        <v>143.35148444444445</v>
      </c>
    </row>
    <row r="411" spans="1:72">
      <c r="A411" s="952"/>
      <c r="B411" s="952"/>
      <c r="C411" s="950"/>
      <c r="D411" s="950"/>
      <c r="E411" s="950"/>
      <c r="F411" s="948"/>
      <c r="G411" s="948"/>
      <c r="H411" s="948"/>
      <c r="I411" s="948"/>
      <c r="J411" s="948"/>
      <c r="K411" s="948"/>
      <c r="L411" s="948"/>
      <c r="M411" s="952"/>
      <c r="N411" s="948"/>
      <c r="O411" s="950"/>
      <c r="P411" s="950"/>
      <c r="Q411" s="950"/>
      <c r="R411" s="950"/>
      <c r="S411" s="950"/>
      <c r="T411" s="950"/>
      <c r="U411" s="950"/>
      <c r="V411" s="950"/>
      <c r="W411" s="950"/>
      <c r="X411" s="950"/>
      <c r="Y411" s="950"/>
      <c r="Z411" s="950"/>
      <c r="AA411" s="950"/>
      <c r="AB411" s="950"/>
      <c r="AC411" s="950"/>
      <c r="AD411" s="950"/>
      <c r="AE411" s="950"/>
      <c r="AF411" s="955"/>
      <c r="AG411" s="955"/>
      <c r="AH411" s="955"/>
      <c r="AI411" s="955"/>
      <c r="AJ411" s="955"/>
      <c r="AK411" s="948"/>
      <c r="AL411" s="948"/>
      <c r="AM411" s="948"/>
      <c r="AN411" s="948"/>
      <c r="AO411" s="948"/>
      <c r="AP411" s="948"/>
      <c r="AQ411" s="948"/>
      <c r="AR411" s="948"/>
      <c r="AS411" s="948"/>
      <c r="AT411" s="948"/>
      <c r="AU411" s="948"/>
      <c r="AV411" s="948"/>
      <c r="AW411" s="948"/>
      <c r="AX411" s="948"/>
      <c r="AY411" s="948"/>
      <c r="AZ411" s="948"/>
      <c r="BA411" s="948"/>
      <c r="BB411" s="948"/>
      <c r="BC411" s="957"/>
      <c r="BD411" s="957"/>
      <c r="BE411" s="957"/>
      <c r="BF411" s="957"/>
      <c r="BG411" s="957"/>
      <c r="BH411" s="957"/>
      <c r="BI411" s="957"/>
      <c r="BJ411" s="957"/>
      <c r="BK411" s="957"/>
      <c r="BL411" s="948"/>
      <c r="BM411" s="948"/>
      <c r="BN411" s="948"/>
      <c r="BO411" s="948"/>
      <c r="BP411" s="948"/>
      <c r="BQ411" s="948"/>
      <c r="BR411" s="948"/>
      <c r="BS411" s="948"/>
      <c r="BT411" s="955"/>
    </row>
    <row r="412" spans="1:72">
      <c r="A412" s="960" t="s">
        <v>8</v>
      </c>
      <c r="B412" s="960" t="s">
        <v>1104</v>
      </c>
      <c r="C412" s="950"/>
      <c r="D412" s="950"/>
      <c r="E412" s="950"/>
      <c r="F412" s="948"/>
      <c r="G412" s="948"/>
      <c r="H412" s="948"/>
      <c r="I412" s="948"/>
      <c r="J412" s="948"/>
      <c r="K412" s="948"/>
      <c r="L412" s="948"/>
      <c r="M412" s="952"/>
      <c r="N412" s="959" t="str">
        <f>A412</f>
        <v>B</v>
      </c>
      <c r="O412" s="959" t="str">
        <f>B412</f>
        <v>Horizontal</v>
      </c>
      <c r="P412" s="950"/>
      <c r="Q412" s="950"/>
      <c r="R412" s="950"/>
      <c r="S412" s="950"/>
      <c r="T412" s="950"/>
      <c r="U412" s="950"/>
      <c r="V412" s="950"/>
      <c r="W412" s="950"/>
      <c r="X412" s="950"/>
      <c r="Y412" s="950"/>
      <c r="Z412" s="950"/>
      <c r="AA412" s="950"/>
      <c r="AB412" s="950"/>
      <c r="AC412" s="950"/>
      <c r="AD412" s="950"/>
      <c r="AE412" s="950"/>
      <c r="AF412" s="955"/>
      <c r="AG412" s="955"/>
      <c r="AH412" s="955"/>
      <c r="AI412" s="955"/>
      <c r="AJ412" s="955"/>
      <c r="AK412" s="948"/>
      <c r="AL412" s="948"/>
      <c r="AM412" s="948"/>
      <c r="AN412" s="948"/>
      <c r="AO412" s="948"/>
      <c r="AP412" s="948"/>
      <c r="AQ412" s="948"/>
      <c r="AR412" s="948"/>
      <c r="AS412" s="948"/>
      <c r="AT412" s="948"/>
      <c r="AU412" s="948"/>
      <c r="AV412" s="948"/>
      <c r="AW412" s="948"/>
      <c r="AX412" s="948"/>
      <c r="AY412" s="948"/>
      <c r="AZ412" s="948"/>
      <c r="BA412" s="948"/>
      <c r="BB412" s="948"/>
      <c r="BC412" s="957"/>
      <c r="BD412" s="957"/>
      <c r="BE412" s="957"/>
      <c r="BF412" s="957"/>
      <c r="BG412" s="957"/>
      <c r="BH412" s="957"/>
      <c r="BI412" s="957"/>
      <c r="BJ412" s="957"/>
      <c r="BK412" s="957"/>
      <c r="BL412" s="948"/>
      <c r="BM412" s="948"/>
      <c r="BN412" s="948"/>
      <c r="BO412" s="948"/>
      <c r="BP412" s="948"/>
      <c r="BQ412" s="948"/>
      <c r="BR412" s="948"/>
      <c r="BS412" s="948"/>
      <c r="BT412" s="955"/>
    </row>
    <row r="413" spans="1:72">
      <c r="A413" s="952">
        <v>1</v>
      </c>
      <c r="B413" s="952" t="s">
        <v>1167</v>
      </c>
      <c r="C413" s="950" t="s">
        <v>1168</v>
      </c>
      <c r="D413" s="950">
        <v>1</v>
      </c>
      <c r="E413" s="950">
        <v>1</v>
      </c>
      <c r="F413" s="948">
        <v>8</v>
      </c>
      <c r="G413" s="948">
        <v>0.3</v>
      </c>
      <c r="H413" s="948">
        <v>0.7</v>
      </c>
      <c r="I413" s="948">
        <v>0.12</v>
      </c>
      <c r="J413" s="948">
        <f t="shared" ref="J413:J419" si="1011">H413-I413</f>
        <v>0.57999999999999996</v>
      </c>
      <c r="K413" s="948">
        <f>F413*G413*J413*D413*E413</f>
        <v>1.3919999999999999</v>
      </c>
      <c r="L413" s="948">
        <f t="shared" ref="L413" si="1012">(2*J413)*F413*E413*D413+(D413*E413*F413*G413)</f>
        <v>11.68</v>
      </c>
      <c r="M413" s="952"/>
      <c r="N413" s="950">
        <v>16</v>
      </c>
      <c r="O413" s="950">
        <v>16</v>
      </c>
      <c r="P413" s="950">
        <v>16</v>
      </c>
      <c r="Q413" s="950">
        <v>16</v>
      </c>
      <c r="R413" s="950">
        <v>16</v>
      </c>
      <c r="S413" s="950">
        <v>16</v>
      </c>
      <c r="T413" s="950">
        <v>8</v>
      </c>
      <c r="U413" s="950"/>
      <c r="V413" s="950"/>
      <c r="W413" s="950">
        <v>200</v>
      </c>
      <c r="X413" s="950">
        <v>100</v>
      </c>
      <c r="Y413" s="950">
        <v>100</v>
      </c>
      <c r="Z413" s="950">
        <v>4</v>
      </c>
      <c r="AA413" s="950">
        <v>4</v>
      </c>
      <c r="AB413" s="950">
        <v>2</v>
      </c>
      <c r="AC413" s="950">
        <v>2</v>
      </c>
      <c r="AD413" s="950">
        <v>4</v>
      </c>
      <c r="AE413" s="950">
        <v>4</v>
      </c>
      <c r="AF413" s="955">
        <f t="shared" ref="AF413:AF419" si="1013">(F413/4)/(W413/1000)+1</f>
        <v>11</v>
      </c>
      <c r="AG413" s="955">
        <f t="shared" ref="AG413:AG419" si="1014">(F413/2)/(X413/1000)+1</f>
        <v>41</v>
      </c>
      <c r="AH413" s="955">
        <f t="shared" ref="AH413:AH419" si="1015">(F413/4)/(Y413/1000)+1</f>
        <v>21</v>
      </c>
      <c r="AI413" s="955">
        <v>0</v>
      </c>
      <c r="AJ413" s="955">
        <v>0</v>
      </c>
      <c r="AK413" s="948">
        <f t="shared" ref="AK413:AK419" si="1016">(F413/4)+(20*N413/1000)+(10*N413/1000)+(8*N413/1000)+(6*2*N413/1000)</f>
        <v>2.8000000000000003</v>
      </c>
      <c r="AL413" s="948">
        <f t="shared" ref="AL413:AL419" si="1017">(F413/4)+(20*O413/1000)+(10*O413/1000)+(8*O413/1000)+(6*2*O413/1000)</f>
        <v>2.8000000000000003</v>
      </c>
      <c r="AM413" s="948">
        <f t="shared" ref="AM413:AM419" si="1018">(F413/2)+(20*P413/1000)+(6*2*P413/1000)</f>
        <v>4.5120000000000005</v>
      </c>
      <c r="AN413" s="948">
        <f t="shared" ref="AN413:AN419" si="1019">(F413/2)+(20*Q413/1000)+(6*2*Q413/1000)</f>
        <v>4.5120000000000005</v>
      </c>
      <c r="AO413" s="948">
        <f t="shared" ref="AO413:AO419" si="1020">(F413/4)+(20*R413/1000)+(10*R413/1000)+(8*R413/1000)+(6*2*R413/1000)</f>
        <v>2.8000000000000003</v>
      </c>
      <c r="AP413" s="948">
        <f t="shared" ref="AP413:AP419" si="1021">(F413/4)+(20*S413/1000)+(10*S413/1000)+(8*S413/1000)+(6*2*S413/1000)</f>
        <v>2.8000000000000003</v>
      </c>
      <c r="AQ413" s="948">
        <f t="shared" ref="AQ413:AQ419" si="1022">(2*G413)+(2*H413)+(6*T413/1000)-(8*0.03)</f>
        <v>1.8080000000000001</v>
      </c>
      <c r="AR413" s="948">
        <f t="shared" ref="AR413:AR419" si="1023">((H413)+(2*6*U413/1000)-(2*0.03))*AI413</f>
        <v>0</v>
      </c>
      <c r="AS413" s="948">
        <f t="shared" ref="AS413:AS419" si="1024">((G413)+(2*6*V413/1000)-(2*0.03))*AJ413</f>
        <v>0</v>
      </c>
      <c r="AT413" s="948">
        <f t="shared" ref="AT413:AT419" si="1025">AK413*Z413*E413*D413</f>
        <v>11.200000000000001</v>
      </c>
      <c r="AU413" s="948">
        <f t="shared" ref="AU413:AU419" si="1026">AL413*AA413*E413*D413</f>
        <v>11.200000000000001</v>
      </c>
      <c r="AV413" s="948">
        <f t="shared" ref="AV413:AV419" si="1027">AM413*AB413*E413*D413</f>
        <v>9.0240000000000009</v>
      </c>
      <c r="AW413" s="948">
        <f t="shared" ref="AW413:AW419" si="1028">AN413*AC413*E413*D413</f>
        <v>9.0240000000000009</v>
      </c>
      <c r="AX413" s="948">
        <f t="shared" ref="AX413:AX419" si="1029">AO413*AD413*E413*D413</f>
        <v>11.200000000000001</v>
      </c>
      <c r="AY413" s="948">
        <f t="shared" ref="AY413:AY419" si="1030">AP413*AE413*E413*D413</f>
        <v>11.200000000000001</v>
      </c>
      <c r="AZ413" s="948">
        <f t="shared" ref="AZ413:AZ419" si="1031">AQ413*(AF413+AG413+AH413)*E413*D413</f>
        <v>131.98400000000001</v>
      </c>
      <c r="BA413" s="948">
        <f t="shared" ref="BA413:BA419" si="1032">AR413*(AF413+AG413+AH413)*E413*D413</f>
        <v>0</v>
      </c>
      <c r="BB413" s="948">
        <f t="shared" ref="BB413:BB419" si="1033">AS413*(AF413+AG413+AH413)*E413*D413</f>
        <v>0</v>
      </c>
      <c r="BC413" s="957">
        <f t="shared" ref="BC413:BK419" si="1034">N413*N413*0.074/12</f>
        <v>1.5786666666666667</v>
      </c>
      <c r="BD413" s="957">
        <f t="shared" si="1034"/>
        <v>1.5786666666666667</v>
      </c>
      <c r="BE413" s="957">
        <f t="shared" si="1034"/>
        <v>1.5786666666666667</v>
      </c>
      <c r="BF413" s="957">
        <f t="shared" si="1034"/>
        <v>1.5786666666666667</v>
      </c>
      <c r="BG413" s="957">
        <f t="shared" si="1034"/>
        <v>1.5786666666666667</v>
      </c>
      <c r="BH413" s="957">
        <f t="shared" si="1034"/>
        <v>1.5786666666666667</v>
      </c>
      <c r="BI413" s="957">
        <f t="shared" si="1034"/>
        <v>0.39466666666666667</v>
      </c>
      <c r="BJ413" s="957">
        <f t="shared" si="1034"/>
        <v>0</v>
      </c>
      <c r="BK413" s="957">
        <f t="shared" si="1034"/>
        <v>0</v>
      </c>
      <c r="BL413" s="948">
        <f t="shared" ref="BL413:BR419" si="1035">AT413*BC413</f>
        <v>17.68106666666667</v>
      </c>
      <c r="BM413" s="948">
        <f t="shared" si="1035"/>
        <v>17.68106666666667</v>
      </c>
      <c r="BN413" s="948">
        <f t="shared" si="1035"/>
        <v>14.245888000000001</v>
      </c>
      <c r="BO413" s="948">
        <f t="shared" si="1035"/>
        <v>14.245888000000001</v>
      </c>
      <c r="BP413" s="948">
        <f t="shared" si="1035"/>
        <v>17.68106666666667</v>
      </c>
      <c r="BQ413" s="948">
        <f t="shared" si="1035"/>
        <v>17.68106666666667</v>
      </c>
      <c r="BR413" s="948">
        <f t="shared" si="1035"/>
        <v>52.089685333333335</v>
      </c>
      <c r="BS413" s="948">
        <f t="shared" ref="BS413:BS419" si="1036">BB413*BK413</f>
        <v>0</v>
      </c>
      <c r="BT413" s="955">
        <f t="shared" ref="BT413:BT419" si="1037">SUM(BL413:BS413)/K413</f>
        <v>108.69664367816094</v>
      </c>
    </row>
    <row r="414" spans="1:72">
      <c r="A414" s="952">
        <v>2</v>
      </c>
      <c r="B414" s="952" t="s">
        <v>1186</v>
      </c>
      <c r="C414" s="950" t="s">
        <v>1187</v>
      </c>
      <c r="D414" s="950">
        <v>1</v>
      </c>
      <c r="E414" s="950">
        <v>1</v>
      </c>
      <c r="F414" s="948">
        <v>14</v>
      </c>
      <c r="G414" s="948">
        <v>0.3</v>
      </c>
      <c r="H414" s="948">
        <v>0.65</v>
      </c>
      <c r="I414" s="948">
        <v>0.12</v>
      </c>
      <c r="J414" s="948">
        <f t="shared" si="1011"/>
        <v>0.53</v>
      </c>
      <c r="K414" s="948">
        <f t="shared" ref="K414:K419" si="1038">F414*G414*J414*D414*E414</f>
        <v>2.2260000000000004</v>
      </c>
      <c r="L414" s="948">
        <f t="shared" ref="L414:L419" si="1039">(2*J414)*F414*E414*D414</f>
        <v>14.84</v>
      </c>
      <c r="M414" s="952"/>
      <c r="N414" s="950">
        <v>16</v>
      </c>
      <c r="O414" s="950">
        <v>16</v>
      </c>
      <c r="P414" s="950">
        <v>16</v>
      </c>
      <c r="Q414" s="950">
        <v>16</v>
      </c>
      <c r="R414" s="950">
        <v>16</v>
      </c>
      <c r="S414" s="950">
        <v>16</v>
      </c>
      <c r="T414" s="950">
        <v>8</v>
      </c>
      <c r="U414" s="950"/>
      <c r="V414" s="950"/>
      <c r="W414" s="950">
        <v>200</v>
      </c>
      <c r="X414" s="950">
        <v>100</v>
      </c>
      <c r="Y414" s="950">
        <v>100</v>
      </c>
      <c r="Z414" s="950">
        <v>4</v>
      </c>
      <c r="AA414" s="950">
        <v>4</v>
      </c>
      <c r="AB414" s="950">
        <v>2</v>
      </c>
      <c r="AC414" s="950">
        <v>2</v>
      </c>
      <c r="AD414" s="950">
        <v>4</v>
      </c>
      <c r="AE414" s="950">
        <v>4</v>
      </c>
      <c r="AF414" s="955">
        <f t="shared" si="1013"/>
        <v>18.5</v>
      </c>
      <c r="AG414" s="955">
        <f t="shared" si="1014"/>
        <v>71</v>
      </c>
      <c r="AH414" s="955">
        <f t="shared" si="1015"/>
        <v>36</v>
      </c>
      <c r="AI414" s="955">
        <v>0</v>
      </c>
      <c r="AJ414" s="955">
        <v>0</v>
      </c>
      <c r="AK414" s="948">
        <f t="shared" si="1016"/>
        <v>4.3</v>
      </c>
      <c r="AL414" s="948">
        <f t="shared" si="1017"/>
        <v>4.3</v>
      </c>
      <c r="AM414" s="948">
        <f t="shared" si="1018"/>
        <v>7.5120000000000005</v>
      </c>
      <c r="AN414" s="948">
        <f t="shared" si="1019"/>
        <v>7.5120000000000005</v>
      </c>
      <c r="AO414" s="948">
        <f t="shared" si="1020"/>
        <v>4.3</v>
      </c>
      <c r="AP414" s="948">
        <f t="shared" si="1021"/>
        <v>4.3</v>
      </c>
      <c r="AQ414" s="948">
        <f t="shared" si="1022"/>
        <v>1.708</v>
      </c>
      <c r="AR414" s="948">
        <f t="shared" si="1023"/>
        <v>0</v>
      </c>
      <c r="AS414" s="948">
        <f t="shared" si="1024"/>
        <v>0</v>
      </c>
      <c r="AT414" s="948">
        <f t="shared" si="1025"/>
        <v>17.2</v>
      </c>
      <c r="AU414" s="948">
        <f t="shared" si="1026"/>
        <v>17.2</v>
      </c>
      <c r="AV414" s="948">
        <f t="shared" si="1027"/>
        <v>15.024000000000001</v>
      </c>
      <c r="AW414" s="948">
        <f t="shared" si="1028"/>
        <v>15.024000000000001</v>
      </c>
      <c r="AX414" s="948">
        <f t="shared" si="1029"/>
        <v>17.2</v>
      </c>
      <c r="AY414" s="948">
        <f t="shared" si="1030"/>
        <v>17.2</v>
      </c>
      <c r="AZ414" s="948">
        <f t="shared" si="1031"/>
        <v>214.35399999999998</v>
      </c>
      <c r="BA414" s="948">
        <f t="shared" si="1032"/>
        <v>0</v>
      </c>
      <c r="BB414" s="948">
        <f t="shared" si="1033"/>
        <v>0</v>
      </c>
      <c r="BC414" s="957">
        <f t="shared" si="1034"/>
        <v>1.5786666666666667</v>
      </c>
      <c r="BD414" s="957">
        <f t="shared" si="1034"/>
        <v>1.5786666666666667</v>
      </c>
      <c r="BE414" s="957">
        <f t="shared" si="1034"/>
        <v>1.5786666666666667</v>
      </c>
      <c r="BF414" s="957">
        <f t="shared" si="1034"/>
        <v>1.5786666666666667</v>
      </c>
      <c r="BG414" s="957">
        <f t="shared" si="1034"/>
        <v>1.5786666666666667</v>
      </c>
      <c r="BH414" s="957">
        <f t="shared" si="1034"/>
        <v>1.5786666666666667</v>
      </c>
      <c r="BI414" s="957">
        <f t="shared" si="1034"/>
        <v>0.39466666666666667</v>
      </c>
      <c r="BJ414" s="957">
        <f t="shared" si="1034"/>
        <v>0</v>
      </c>
      <c r="BK414" s="957">
        <f t="shared" si="1034"/>
        <v>0</v>
      </c>
      <c r="BL414" s="948">
        <f t="shared" si="1035"/>
        <v>27.153066666666664</v>
      </c>
      <c r="BM414" s="948">
        <f t="shared" si="1035"/>
        <v>27.153066666666664</v>
      </c>
      <c r="BN414" s="948">
        <f t="shared" si="1035"/>
        <v>23.717888000000002</v>
      </c>
      <c r="BO414" s="948">
        <f t="shared" si="1035"/>
        <v>23.717888000000002</v>
      </c>
      <c r="BP414" s="948">
        <f t="shared" si="1035"/>
        <v>27.153066666666664</v>
      </c>
      <c r="BQ414" s="948">
        <f t="shared" si="1035"/>
        <v>27.153066666666664</v>
      </c>
      <c r="BR414" s="948">
        <f t="shared" si="1035"/>
        <v>84.598378666666662</v>
      </c>
      <c r="BS414" s="948">
        <f t="shared" si="1036"/>
        <v>0</v>
      </c>
      <c r="BT414" s="955">
        <f t="shared" si="1037"/>
        <v>108.10710751722071</v>
      </c>
    </row>
    <row r="415" spans="1:72">
      <c r="A415" s="952">
        <v>2</v>
      </c>
      <c r="B415" s="952" t="s">
        <v>1188</v>
      </c>
      <c r="C415" s="950" t="s">
        <v>1189</v>
      </c>
      <c r="D415" s="950">
        <v>1</v>
      </c>
      <c r="E415" s="950">
        <v>1</v>
      </c>
      <c r="F415" s="948">
        <v>14</v>
      </c>
      <c r="G415" s="948">
        <v>0.3</v>
      </c>
      <c r="H415" s="948">
        <v>0.7</v>
      </c>
      <c r="I415" s="948">
        <v>0.12</v>
      </c>
      <c r="J415" s="948">
        <f t="shared" si="1011"/>
        <v>0.57999999999999996</v>
      </c>
      <c r="K415" s="948">
        <f t="shared" si="1038"/>
        <v>2.4359999999999999</v>
      </c>
      <c r="L415" s="948">
        <f t="shared" si="1039"/>
        <v>16.239999999999998</v>
      </c>
      <c r="M415" s="952"/>
      <c r="N415" s="950">
        <v>16</v>
      </c>
      <c r="O415" s="950">
        <v>16</v>
      </c>
      <c r="P415" s="950">
        <v>16</v>
      </c>
      <c r="Q415" s="950">
        <v>16</v>
      </c>
      <c r="R415" s="950">
        <v>16</v>
      </c>
      <c r="S415" s="950">
        <v>16</v>
      </c>
      <c r="T415" s="950">
        <v>8</v>
      </c>
      <c r="U415" s="950"/>
      <c r="V415" s="950"/>
      <c r="W415" s="950">
        <v>200</v>
      </c>
      <c r="X415" s="950">
        <v>100</v>
      </c>
      <c r="Y415" s="950">
        <v>100</v>
      </c>
      <c r="Z415" s="950">
        <v>4</v>
      </c>
      <c r="AA415" s="950">
        <v>4</v>
      </c>
      <c r="AB415" s="950">
        <v>2</v>
      </c>
      <c r="AC415" s="950">
        <v>2</v>
      </c>
      <c r="AD415" s="950">
        <v>4</v>
      </c>
      <c r="AE415" s="950">
        <v>4</v>
      </c>
      <c r="AF415" s="955">
        <f t="shared" si="1013"/>
        <v>18.5</v>
      </c>
      <c r="AG415" s="955">
        <f t="shared" si="1014"/>
        <v>71</v>
      </c>
      <c r="AH415" s="955">
        <f t="shared" si="1015"/>
        <v>36</v>
      </c>
      <c r="AI415" s="955">
        <v>0</v>
      </c>
      <c r="AJ415" s="955">
        <v>0</v>
      </c>
      <c r="AK415" s="948">
        <f t="shared" si="1016"/>
        <v>4.3</v>
      </c>
      <c r="AL415" s="948">
        <f t="shared" si="1017"/>
        <v>4.3</v>
      </c>
      <c r="AM415" s="948">
        <f t="shared" si="1018"/>
        <v>7.5120000000000005</v>
      </c>
      <c r="AN415" s="948">
        <f t="shared" si="1019"/>
        <v>7.5120000000000005</v>
      </c>
      <c r="AO415" s="948">
        <f t="shared" si="1020"/>
        <v>4.3</v>
      </c>
      <c r="AP415" s="948">
        <f t="shared" si="1021"/>
        <v>4.3</v>
      </c>
      <c r="AQ415" s="948">
        <f t="shared" si="1022"/>
        <v>1.8080000000000001</v>
      </c>
      <c r="AR415" s="948">
        <f t="shared" si="1023"/>
        <v>0</v>
      </c>
      <c r="AS415" s="948">
        <f t="shared" si="1024"/>
        <v>0</v>
      </c>
      <c r="AT415" s="948">
        <f t="shared" si="1025"/>
        <v>17.2</v>
      </c>
      <c r="AU415" s="948">
        <f t="shared" si="1026"/>
        <v>17.2</v>
      </c>
      <c r="AV415" s="948">
        <f t="shared" si="1027"/>
        <v>15.024000000000001</v>
      </c>
      <c r="AW415" s="948">
        <f t="shared" si="1028"/>
        <v>15.024000000000001</v>
      </c>
      <c r="AX415" s="948">
        <f t="shared" si="1029"/>
        <v>17.2</v>
      </c>
      <c r="AY415" s="948">
        <f t="shared" si="1030"/>
        <v>17.2</v>
      </c>
      <c r="AZ415" s="948">
        <f t="shared" si="1031"/>
        <v>226.904</v>
      </c>
      <c r="BA415" s="948">
        <f t="shared" si="1032"/>
        <v>0</v>
      </c>
      <c r="BB415" s="948">
        <f t="shared" si="1033"/>
        <v>0</v>
      </c>
      <c r="BC415" s="957">
        <f t="shared" si="1034"/>
        <v>1.5786666666666667</v>
      </c>
      <c r="BD415" s="957">
        <f t="shared" si="1034"/>
        <v>1.5786666666666667</v>
      </c>
      <c r="BE415" s="957">
        <f t="shared" si="1034"/>
        <v>1.5786666666666667</v>
      </c>
      <c r="BF415" s="957">
        <f t="shared" si="1034"/>
        <v>1.5786666666666667</v>
      </c>
      <c r="BG415" s="957">
        <f t="shared" si="1034"/>
        <v>1.5786666666666667</v>
      </c>
      <c r="BH415" s="957">
        <f t="shared" si="1034"/>
        <v>1.5786666666666667</v>
      </c>
      <c r="BI415" s="957">
        <f t="shared" si="1034"/>
        <v>0.39466666666666667</v>
      </c>
      <c r="BJ415" s="957">
        <f t="shared" si="1034"/>
        <v>0</v>
      </c>
      <c r="BK415" s="957">
        <f t="shared" si="1034"/>
        <v>0</v>
      </c>
      <c r="BL415" s="948">
        <f t="shared" si="1035"/>
        <v>27.153066666666664</v>
      </c>
      <c r="BM415" s="948">
        <f t="shared" si="1035"/>
        <v>27.153066666666664</v>
      </c>
      <c r="BN415" s="948">
        <f t="shared" si="1035"/>
        <v>23.717888000000002</v>
      </c>
      <c r="BO415" s="948">
        <f t="shared" si="1035"/>
        <v>23.717888000000002</v>
      </c>
      <c r="BP415" s="948">
        <f t="shared" si="1035"/>
        <v>27.153066666666664</v>
      </c>
      <c r="BQ415" s="948">
        <f t="shared" si="1035"/>
        <v>27.153066666666664</v>
      </c>
      <c r="BR415" s="948">
        <f t="shared" si="1035"/>
        <v>89.551445333333334</v>
      </c>
      <c r="BS415" s="948">
        <f t="shared" si="1036"/>
        <v>0</v>
      </c>
      <c r="BT415" s="955">
        <f t="shared" si="1037"/>
        <v>100.8208078817734</v>
      </c>
    </row>
    <row r="416" spans="1:72">
      <c r="A416" s="952">
        <v>3</v>
      </c>
      <c r="B416" s="952" t="s">
        <v>1170</v>
      </c>
      <c r="C416" s="950" t="s">
        <v>1190</v>
      </c>
      <c r="D416" s="950">
        <v>1</v>
      </c>
      <c r="E416" s="950">
        <v>1</v>
      </c>
      <c r="F416" s="948">
        <v>32</v>
      </c>
      <c r="G416" s="948">
        <v>0.3</v>
      </c>
      <c r="H416" s="948">
        <v>0.65</v>
      </c>
      <c r="I416" s="948">
        <v>0.12</v>
      </c>
      <c r="J416" s="948">
        <f t="shared" si="1011"/>
        <v>0.53</v>
      </c>
      <c r="K416" s="948">
        <f t="shared" si="1038"/>
        <v>5.0880000000000001</v>
      </c>
      <c r="L416" s="948">
        <f t="shared" si="1039"/>
        <v>33.92</v>
      </c>
      <c r="M416" s="952"/>
      <c r="N416" s="950">
        <v>16</v>
      </c>
      <c r="O416" s="950">
        <v>16</v>
      </c>
      <c r="P416" s="950">
        <v>16</v>
      </c>
      <c r="Q416" s="950">
        <v>16</v>
      </c>
      <c r="R416" s="950">
        <v>16</v>
      </c>
      <c r="S416" s="950">
        <v>16</v>
      </c>
      <c r="T416" s="950">
        <v>8</v>
      </c>
      <c r="U416" s="950"/>
      <c r="V416" s="950"/>
      <c r="W416" s="950">
        <v>200</v>
      </c>
      <c r="X416" s="950">
        <v>100</v>
      </c>
      <c r="Y416" s="950">
        <v>100</v>
      </c>
      <c r="Z416" s="950">
        <v>9</v>
      </c>
      <c r="AA416" s="950">
        <v>6</v>
      </c>
      <c r="AB416" s="950">
        <v>4</v>
      </c>
      <c r="AC416" s="950">
        <v>4</v>
      </c>
      <c r="AD416" s="950">
        <v>9</v>
      </c>
      <c r="AE416" s="950">
        <v>6</v>
      </c>
      <c r="AF416" s="955">
        <f t="shared" si="1013"/>
        <v>41</v>
      </c>
      <c r="AG416" s="955">
        <f t="shared" si="1014"/>
        <v>161</v>
      </c>
      <c r="AH416" s="955">
        <f t="shared" si="1015"/>
        <v>81</v>
      </c>
      <c r="AI416" s="955">
        <v>0</v>
      </c>
      <c r="AJ416" s="955">
        <v>0</v>
      </c>
      <c r="AK416" s="948">
        <f t="shared" si="1016"/>
        <v>8.8000000000000007</v>
      </c>
      <c r="AL416" s="948">
        <f t="shared" si="1017"/>
        <v>8.8000000000000007</v>
      </c>
      <c r="AM416" s="948">
        <f t="shared" si="1018"/>
        <v>16.512</v>
      </c>
      <c r="AN416" s="948">
        <f t="shared" si="1019"/>
        <v>16.512</v>
      </c>
      <c r="AO416" s="948">
        <f t="shared" si="1020"/>
        <v>8.8000000000000007</v>
      </c>
      <c r="AP416" s="948">
        <f t="shared" si="1021"/>
        <v>8.8000000000000007</v>
      </c>
      <c r="AQ416" s="948">
        <f t="shared" si="1022"/>
        <v>1.708</v>
      </c>
      <c r="AR416" s="948">
        <f t="shared" si="1023"/>
        <v>0</v>
      </c>
      <c r="AS416" s="948">
        <f t="shared" si="1024"/>
        <v>0</v>
      </c>
      <c r="AT416" s="948">
        <f t="shared" si="1025"/>
        <v>79.2</v>
      </c>
      <c r="AU416" s="948">
        <f t="shared" si="1026"/>
        <v>52.800000000000004</v>
      </c>
      <c r="AV416" s="948">
        <f t="shared" si="1027"/>
        <v>66.048000000000002</v>
      </c>
      <c r="AW416" s="948">
        <f t="shared" si="1028"/>
        <v>66.048000000000002</v>
      </c>
      <c r="AX416" s="948">
        <f t="shared" si="1029"/>
        <v>79.2</v>
      </c>
      <c r="AY416" s="948">
        <f t="shared" si="1030"/>
        <v>52.800000000000004</v>
      </c>
      <c r="AZ416" s="948">
        <f t="shared" si="1031"/>
        <v>483.36399999999998</v>
      </c>
      <c r="BA416" s="948">
        <f t="shared" si="1032"/>
        <v>0</v>
      </c>
      <c r="BB416" s="948">
        <f t="shared" si="1033"/>
        <v>0</v>
      </c>
      <c r="BC416" s="957">
        <f t="shared" si="1034"/>
        <v>1.5786666666666667</v>
      </c>
      <c r="BD416" s="957">
        <f t="shared" si="1034"/>
        <v>1.5786666666666667</v>
      </c>
      <c r="BE416" s="957">
        <f t="shared" si="1034"/>
        <v>1.5786666666666667</v>
      </c>
      <c r="BF416" s="957">
        <f t="shared" si="1034"/>
        <v>1.5786666666666667</v>
      </c>
      <c r="BG416" s="957">
        <f t="shared" si="1034"/>
        <v>1.5786666666666667</v>
      </c>
      <c r="BH416" s="957">
        <f t="shared" si="1034"/>
        <v>1.5786666666666667</v>
      </c>
      <c r="BI416" s="957">
        <f t="shared" si="1034"/>
        <v>0.39466666666666667</v>
      </c>
      <c r="BJ416" s="957">
        <f t="shared" si="1034"/>
        <v>0</v>
      </c>
      <c r="BK416" s="957">
        <f t="shared" si="1034"/>
        <v>0</v>
      </c>
      <c r="BL416" s="948">
        <f t="shared" si="1035"/>
        <v>125.0304</v>
      </c>
      <c r="BM416" s="948">
        <f t="shared" si="1035"/>
        <v>83.3536</v>
      </c>
      <c r="BN416" s="948">
        <f t="shared" si="1035"/>
        <v>104.267776</v>
      </c>
      <c r="BO416" s="948">
        <f t="shared" si="1035"/>
        <v>104.267776</v>
      </c>
      <c r="BP416" s="948">
        <f t="shared" si="1035"/>
        <v>125.0304</v>
      </c>
      <c r="BQ416" s="948">
        <f t="shared" si="1035"/>
        <v>83.3536</v>
      </c>
      <c r="BR416" s="948">
        <f t="shared" si="1035"/>
        <v>190.76765866666665</v>
      </c>
      <c r="BS416" s="948">
        <f t="shared" si="1036"/>
        <v>0</v>
      </c>
      <c r="BT416" s="955">
        <f t="shared" si="1037"/>
        <v>160.39135429769394</v>
      </c>
    </row>
    <row r="417" spans="1:72">
      <c r="A417" s="952">
        <v>4</v>
      </c>
      <c r="B417" s="952" t="s">
        <v>1183</v>
      </c>
      <c r="C417" s="950" t="s">
        <v>1191</v>
      </c>
      <c r="D417" s="950">
        <v>1</v>
      </c>
      <c r="E417" s="950">
        <v>1</v>
      </c>
      <c r="F417" s="948">
        <v>24</v>
      </c>
      <c r="G417" s="948">
        <v>0.3</v>
      </c>
      <c r="H417" s="948">
        <v>0.65</v>
      </c>
      <c r="I417" s="948">
        <v>0.12</v>
      </c>
      <c r="J417" s="948">
        <f t="shared" si="1011"/>
        <v>0.53</v>
      </c>
      <c r="K417" s="948">
        <f t="shared" si="1038"/>
        <v>3.8159999999999998</v>
      </c>
      <c r="L417" s="948">
        <f t="shared" si="1039"/>
        <v>25.44</v>
      </c>
      <c r="M417" s="952"/>
      <c r="N417" s="950">
        <v>25</v>
      </c>
      <c r="O417" s="950">
        <v>25</v>
      </c>
      <c r="P417" s="950">
        <v>25</v>
      </c>
      <c r="Q417" s="950">
        <v>25</v>
      </c>
      <c r="R417" s="950">
        <v>25</v>
      </c>
      <c r="S417" s="950">
        <v>25</v>
      </c>
      <c r="T417" s="950">
        <v>8</v>
      </c>
      <c r="U417" s="950"/>
      <c r="V417" s="950"/>
      <c r="W417" s="950">
        <v>200</v>
      </c>
      <c r="X417" s="950">
        <v>100</v>
      </c>
      <c r="Y417" s="950">
        <v>100</v>
      </c>
      <c r="Z417" s="950">
        <v>9</v>
      </c>
      <c r="AA417" s="950">
        <v>6</v>
      </c>
      <c r="AB417" s="950">
        <v>4</v>
      </c>
      <c r="AC417" s="950">
        <v>4</v>
      </c>
      <c r="AD417" s="950">
        <v>9</v>
      </c>
      <c r="AE417" s="950">
        <v>6</v>
      </c>
      <c r="AF417" s="955">
        <f t="shared" si="1013"/>
        <v>31</v>
      </c>
      <c r="AG417" s="955">
        <f t="shared" si="1014"/>
        <v>121</v>
      </c>
      <c r="AH417" s="955">
        <f t="shared" si="1015"/>
        <v>61</v>
      </c>
      <c r="AI417" s="955">
        <v>0</v>
      </c>
      <c r="AJ417" s="955">
        <v>0</v>
      </c>
      <c r="AK417" s="948">
        <f t="shared" si="1016"/>
        <v>7.25</v>
      </c>
      <c r="AL417" s="948">
        <f t="shared" si="1017"/>
        <v>7.25</v>
      </c>
      <c r="AM417" s="948">
        <f t="shared" si="1018"/>
        <v>12.8</v>
      </c>
      <c r="AN417" s="948">
        <f t="shared" si="1019"/>
        <v>12.8</v>
      </c>
      <c r="AO417" s="948">
        <f t="shared" si="1020"/>
        <v>7.25</v>
      </c>
      <c r="AP417" s="948">
        <f t="shared" si="1021"/>
        <v>7.25</v>
      </c>
      <c r="AQ417" s="948">
        <f t="shared" si="1022"/>
        <v>1.708</v>
      </c>
      <c r="AR417" s="948">
        <f t="shared" si="1023"/>
        <v>0</v>
      </c>
      <c r="AS417" s="948">
        <f t="shared" si="1024"/>
        <v>0</v>
      </c>
      <c r="AT417" s="948">
        <f t="shared" si="1025"/>
        <v>65.25</v>
      </c>
      <c r="AU417" s="948">
        <f t="shared" si="1026"/>
        <v>43.5</v>
      </c>
      <c r="AV417" s="948">
        <f t="shared" si="1027"/>
        <v>51.2</v>
      </c>
      <c r="AW417" s="948">
        <f t="shared" si="1028"/>
        <v>51.2</v>
      </c>
      <c r="AX417" s="948">
        <f t="shared" si="1029"/>
        <v>65.25</v>
      </c>
      <c r="AY417" s="948">
        <f t="shared" si="1030"/>
        <v>43.5</v>
      </c>
      <c r="AZ417" s="948">
        <f t="shared" si="1031"/>
        <v>363.80399999999997</v>
      </c>
      <c r="BA417" s="948">
        <f t="shared" si="1032"/>
        <v>0</v>
      </c>
      <c r="BB417" s="948">
        <f t="shared" si="1033"/>
        <v>0</v>
      </c>
      <c r="BC417" s="957">
        <f t="shared" si="1034"/>
        <v>3.8541666666666665</v>
      </c>
      <c r="BD417" s="957">
        <f t="shared" si="1034"/>
        <v>3.8541666666666665</v>
      </c>
      <c r="BE417" s="957">
        <f t="shared" si="1034"/>
        <v>3.8541666666666665</v>
      </c>
      <c r="BF417" s="957">
        <f t="shared" si="1034"/>
        <v>3.8541666666666665</v>
      </c>
      <c r="BG417" s="957">
        <f t="shared" si="1034"/>
        <v>3.8541666666666665</v>
      </c>
      <c r="BH417" s="957">
        <f t="shared" si="1034"/>
        <v>3.8541666666666665</v>
      </c>
      <c r="BI417" s="957">
        <f t="shared" si="1034"/>
        <v>0.39466666666666667</v>
      </c>
      <c r="BJ417" s="957">
        <f t="shared" si="1034"/>
        <v>0</v>
      </c>
      <c r="BK417" s="957">
        <f t="shared" si="1034"/>
        <v>0</v>
      </c>
      <c r="BL417" s="948">
        <f t="shared" si="1035"/>
        <v>251.484375</v>
      </c>
      <c r="BM417" s="948">
        <f t="shared" si="1035"/>
        <v>167.65625</v>
      </c>
      <c r="BN417" s="948">
        <f t="shared" si="1035"/>
        <v>197.33333333333334</v>
      </c>
      <c r="BO417" s="948">
        <f t="shared" si="1035"/>
        <v>197.33333333333334</v>
      </c>
      <c r="BP417" s="948">
        <f t="shared" si="1035"/>
        <v>251.484375</v>
      </c>
      <c r="BQ417" s="948">
        <f t="shared" si="1035"/>
        <v>167.65625</v>
      </c>
      <c r="BR417" s="948">
        <f t="shared" si="1035"/>
        <v>143.581312</v>
      </c>
      <c r="BS417" s="948">
        <f t="shared" si="1036"/>
        <v>0</v>
      </c>
      <c r="BT417" s="955">
        <f t="shared" si="1037"/>
        <v>360.72568885394833</v>
      </c>
    </row>
    <row r="418" spans="1:72">
      <c r="A418" s="952">
        <v>5</v>
      </c>
      <c r="B418" s="952" t="s">
        <v>1173</v>
      </c>
      <c r="C418" s="950" t="s">
        <v>1174</v>
      </c>
      <c r="D418" s="950">
        <v>1</v>
      </c>
      <c r="E418" s="950">
        <v>1</v>
      </c>
      <c r="F418" s="948">
        <v>5.4</v>
      </c>
      <c r="G418" s="948">
        <v>0.3</v>
      </c>
      <c r="H418" s="948">
        <v>0.65</v>
      </c>
      <c r="I418" s="948">
        <v>0.12</v>
      </c>
      <c r="J418" s="948">
        <f t="shared" si="1011"/>
        <v>0.53</v>
      </c>
      <c r="K418" s="948">
        <f t="shared" si="1038"/>
        <v>0.85860000000000014</v>
      </c>
      <c r="L418" s="948">
        <f t="shared" si="1039"/>
        <v>5.7240000000000011</v>
      </c>
      <c r="M418" s="952"/>
      <c r="N418" s="950">
        <v>16</v>
      </c>
      <c r="O418" s="950">
        <v>16</v>
      </c>
      <c r="P418" s="950">
        <v>16</v>
      </c>
      <c r="Q418" s="950">
        <v>16</v>
      </c>
      <c r="R418" s="950">
        <v>16</v>
      </c>
      <c r="S418" s="950">
        <v>16</v>
      </c>
      <c r="T418" s="950">
        <v>8</v>
      </c>
      <c r="U418" s="950"/>
      <c r="V418" s="950"/>
      <c r="W418" s="950">
        <v>200</v>
      </c>
      <c r="X418" s="950">
        <v>100</v>
      </c>
      <c r="Y418" s="950">
        <v>100</v>
      </c>
      <c r="Z418" s="950">
        <v>9</v>
      </c>
      <c r="AA418" s="950">
        <v>6</v>
      </c>
      <c r="AB418" s="950">
        <v>4</v>
      </c>
      <c r="AC418" s="950">
        <v>4</v>
      </c>
      <c r="AD418" s="950">
        <v>9</v>
      </c>
      <c r="AE418" s="950">
        <v>6</v>
      </c>
      <c r="AF418" s="955">
        <f t="shared" si="1013"/>
        <v>7.75</v>
      </c>
      <c r="AG418" s="955">
        <f t="shared" si="1014"/>
        <v>28</v>
      </c>
      <c r="AH418" s="955">
        <f t="shared" si="1015"/>
        <v>14.5</v>
      </c>
      <c r="AI418" s="955">
        <v>0</v>
      </c>
      <c r="AJ418" s="955">
        <v>0</v>
      </c>
      <c r="AK418" s="948">
        <f t="shared" si="1016"/>
        <v>2.1500000000000004</v>
      </c>
      <c r="AL418" s="948">
        <f t="shared" si="1017"/>
        <v>2.1500000000000004</v>
      </c>
      <c r="AM418" s="948">
        <f t="shared" si="1018"/>
        <v>3.2120000000000002</v>
      </c>
      <c r="AN418" s="948">
        <f t="shared" si="1019"/>
        <v>3.2120000000000002</v>
      </c>
      <c r="AO418" s="948">
        <f t="shared" si="1020"/>
        <v>2.1500000000000004</v>
      </c>
      <c r="AP418" s="948">
        <f t="shared" si="1021"/>
        <v>2.1500000000000004</v>
      </c>
      <c r="AQ418" s="948">
        <f t="shared" si="1022"/>
        <v>1.708</v>
      </c>
      <c r="AR418" s="948">
        <f t="shared" si="1023"/>
        <v>0</v>
      </c>
      <c r="AS418" s="948">
        <f t="shared" si="1024"/>
        <v>0</v>
      </c>
      <c r="AT418" s="948">
        <f t="shared" si="1025"/>
        <v>19.350000000000001</v>
      </c>
      <c r="AU418" s="948">
        <f t="shared" si="1026"/>
        <v>12.900000000000002</v>
      </c>
      <c r="AV418" s="948">
        <f t="shared" si="1027"/>
        <v>12.848000000000001</v>
      </c>
      <c r="AW418" s="948">
        <f t="shared" si="1028"/>
        <v>12.848000000000001</v>
      </c>
      <c r="AX418" s="948">
        <f t="shared" si="1029"/>
        <v>19.350000000000001</v>
      </c>
      <c r="AY418" s="948">
        <f t="shared" si="1030"/>
        <v>12.900000000000002</v>
      </c>
      <c r="AZ418" s="948">
        <f t="shared" si="1031"/>
        <v>85.826999999999998</v>
      </c>
      <c r="BA418" s="948">
        <f t="shared" si="1032"/>
        <v>0</v>
      </c>
      <c r="BB418" s="948">
        <f t="shared" si="1033"/>
        <v>0</v>
      </c>
      <c r="BC418" s="957">
        <f t="shared" si="1034"/>
        <v>1.5786666666666667</v>
      </c>
      <c r="BD418" s="957">
        <f t="shared" si="1034"/>
        <v>1.5786666666666667</v>
      </c>
      <c r="BE418" s="957">
        <f t="shared" si="1034"/>
        <v>1.5786666666666667</v>
      </c>
      <c r="BF418" s="957">
        <f t="shared" si="1034"/>
        <v>1.5786666666666667</v>
      </c>
      <c r="BG418" s="957">
        <f t="shared" si="1034"/>
        <v>1.5786666666666667</v>
      </c>
      <c r="BH418" s="957">
        <f t="shared" si="1034"/>
        <v>1.5786666666666667</v>
      </c>
      <c r="BI418" s="957">
        <f t="shared" si="1034"/>
        <v>0.39466666666666667</v>
      </c>
      <c r="BJ418" s="957">
        <f t="shared" si="1034"/>
        <v>0</v>
      </c>
      <c r="BK418" s="957">
        <f t="shared" si="1034"/>
        <v>0</v>
      </c>
      <c r="BL418" s="948">
        <f t="shared" si="1035"/>
        <v>30.547200000000004</v>
      </c>
      <c r="BM418" s="948">
        <f t="shared" si="1035"/>
        <v>20.364800000000002</v>
      </c>
      <c r="BN418" s="948">
        <f t="shared" si="1035"/>
        <v>20.282709333333333</v>
      </c>
      <c r="BO418" s="948">
        <f t="shared" si="1035"/>
        <v>20.282709333333333</v>
      </c>
      <c r="BP418" s="948">
        <f t="shared" si="1035"/>
        <v>30.547200000000004</v>
      </c>
      <c r="BQ418" s="948">
        <f t="shared" si="1035"/>
        <v>20.364800000000002</v>
      </c>
      <c r="BR418" s="948">
        <f t="shared" si="1035"/>
        <v>33.873055999999998</v>
      </c>
      <c r="BS418" s="948">
        <f t="shared" si="1036"/>
        <v>0</v>
      </c>
      <c r="BT418" s="955">
        <f t="shared" si="1037"/>
        <v>205.29055982607341</v>
      </c>
    </row>
    <row r="419" spans="1:72">
      <c r="A419" s="952">
        <v>6</v>
      </c>
      <c r="B419" s="952" t="s">
        <v>1192</v>
      </c>
      <c r="C419" s="950" t="s">
        <v>1193</v>
      </c>
      <c r="D419" s="950">
        <v>1</v>
      </c>
      <c r="E419" s="950">
        <v>1</v>
      </c>
      <c r="F419" s="948">
        <v>14</v>
      </c>
      <c r="G419" s="948">
        <v>0.3</v>
      </c>
      <c r="H419" s="948">
        <v>0.7</v>
      </c>
      <c r="I419" s="948">
        <v>0.12</v>
      </c>
      <c r="J419" s="948">
        <f t="shared" si="1011"/>
        <v>0.57999999999999996</v>
      </c>
      <c r="K419" s="948">
        <f t="shared" si="1038"/>
        <v>2.4359999999999999</v>
      </c>
      <c r="L419" s="948">
        <f t="shared" si="1039"/>
        <v>16.239999999999998</v>
      </c>
      <c r="M419" s="952"/>
      <c r="N419" s="950">
        <v>25</v>
      </c>
      <c r="O419" s="950">
        <v>25</v>
      </c>
      <c r="P419" s="950">
        <v>25</v>
      </c>
      <c r="Q419" s="950">
        <v>25</v>
      </c>
      <c r="R419" s="950">
        <v>25</v>
      </c>
      <c r="S419" s="950">
        <v>25</v>
      </c>
      <c r="T419" s="950">
        <v>8</v>
      </c>
      <c r="U419" s="950"/>
      <c r="V419" s="950"/>
      <c r="W419" s="950">
        <v>200</v>
      </c>
      <c r="X419" s="950">
        <v>100</v>
      </c>
      <c r="Y419" s="950">
        <v>100</v>
      </c>
      <c r="Z419" s="950">
        <v>9</v>
      </c>
      <c r="AA419" s="950">
        <v>6</v>
      </c>
      <c r="AB419" s="950">
        <v>4</v>
      </c>
      <c r="AC419" s="950">
        <v>4</v>
      </c>
      <c r="AD419" s="950">
        <v>9</v>
      </c>
      <c r="AE419" s="950">
        <v>6</v>
      </c>
      <c r="AF419" s="955">
        <f t="shared" si="1013"/>
        <v>18.5</v>
      </c>
      <c r="AG419" s="955">
        <f t="shared" si="1014"/>
        <v>71</v>
      </c>
      <c r="AH419" s="955">
        <f t="shared" si="1015"/>
        <v>36</v>
      </c>
      <c r="AI419" s="955">
        <v>0</v>
      </c>
      <c r="AJ419" s="955">
        <v>0</v>
      </c>
      <c r="AK419" s="948">
        <f t="shared" si="1016"/>
        <v>4.75</v>
      </c>
      <c r="AL419" s="948">
        <f t="shared" si="1017"/>
        <v>4.75</v>
      </c>
      <c r="AM419" s="948">
        <f t="shared" si="1018"/>
        <v>7.8</v>
      </c>
      <c r="AN419" s="948">
        <f t="shared" si="1019"/>
        <v>7.8</v>
      </c>
      <c r="AO419" s="948">
        <f t="shared" si="1020"/>
        <v>4.75</v>
      </c>
      <c r="AP419" s="948">
        <f t="shared" si="1021"/>
        <v>4.75</v>
      </c>
      <c r="AQ419" s="948">
        <f t="shared" si="1022"/>
        <v>1.8080000000000001</v>
      </c>
      <c r="AR419" s="948">
        <f t="shared" si="1023"/>
        <v>0</v>
      </c>
      <c r="AS419" s="948">
        <f t="shared" si="1024"/>
        <v>0</v>
      </c>
      <c r="AT419" s="948">
        <f t="shared" si="1025"/>
        <v>42.75</v>
      </c>
      <c r="AU419" s="948">
        <f t="shared" si="1026"/>
        <v>28.5</v>
      </c>
      <c r="AV419" s="948">
        <f t="shared" si="1027"/>
        <v>31.2</v>
      </c>
      <c r="AW419" s="948">
        <f t="shared" si="1028"/>
        <v>31.2</v>
      </c>
      <c r="AX419" s="948">
        <f t="shared" si="1029"/>
        <v>42.75</v>
      </c>
      <c r="AY419" s="948">
        <f t="shared" si="1030"/>
        <v>28.5</v>
      </c>
      <c r="AZ419" s="948">
        <f t="shared" si="1031"/>
        <v>226.904</v>
      </c>
      <c r="BA419" s="948">
        <f t="shared" si="1032"/>
        <v>0</v>
      </c>
      <c r="BB419" s="948">
        <f t="shared" si="1033"/>
        <v>0</v>
      </c>
      <c r="BC419" s="957">
        <f t="shared" si="1034"/>
        <v>3.8541666666666665</v>
      </c>
      <c r="BD419" s="957">
        <f t="shared" si="1034"/>
        <v>3.8541666666666665</v>
      </c>
      <c r="BE419" s="957">
        <f t="shared" si="1034"/>
        <v>3.8541666666666665</v>
      </c>
      <c r="BF419" s="957">
        <f t="shared" si="1034"/>
        <v>3.8541666666666665</v>
      </c>
      <c r="BG419" s="957">
        <f t="shared" si="1034"/>
        <v>3.8541666666666665</v>
      </c>
      <c r="BH419" s="957">
        <f t="shared" si="1034"/>
        <v>3.8541666666666665</v>
      </c>
      <c r="BI419" s="957">
        <f t="shared" si="1034"/>
        <v>0.39466666666666667</v>
      </c>
      <c r="BJ419" s="957">
        <f t="shared" si="1034"/>
        <v>0</v>
      </c>
      <c r="BK419" s="957">
        <f t="shared" si="1034"/>
        <v>0</v>
      </c>
      <c r="BL419" s="948">
        <f t="shared" si="1035"/>
        <v>164.765625</v>
      </c>
      <c r="BM419" s="948">
        <f t="shared" si="1035"/>
        <v>109.84375</v>
      </c>
      <c r="BN419" s="948">
        <f t="shared" si="1035"/>
        <v>120.24999999999999</v>
      </c>
      <c r="BO419" s="948">
        <f t="shared" si="1035"/>
        <v>120.24999999999999</v>
      </c>
      <c r="BP419" s="948">
        <f t="shared" si="1035"/>
        <v>164.765625</v>
      </c>
      <c r="BQ419" s="948">
        <f t="shared" si="1035"/>
        <v>109.84375</v>
      </c>
      <c r="BR419" s="948">
        <f t="shared" si="1035"/>
        <v>89.551445333333334</v>
      </c>
      <c r="BS419" s="948">
        <f t="shared" si="1036"/>
        <v>0</v>
      </c>
      <c r="BT419" s="955">
        <f t="shared" si="1037"/>
        <v>360.94835604816637</v>
      </c>
    </row>
    <row r="420" spans="1:72">
      <c r="A420" s="952">
        <v>7</v>
      </c>
      <c r="B420" s="952" t="s">
        <v>1177</v>
      </c>
      <c r="C420" s="950" t="s">
        <v>1099</v>
      </c>
      <c r="D420" s="950">
        <v>1</v>
      </c>
      <c r="E420" s="950">
        <v>1</v>
      </c>
      <c r="F420" s="948">
        <v>4.75</v>
      </c>
      <c r="G420" s="948">
        <v>0.25</v>
      </c>
      <c r="H420" s="948">
        <v>0.6</v>
      </c>
      <c r="I420" s="948">
        <v>0.12</v>
      </c>
      <c r="J420" s="948">
        <v>0.48</v>
      </c>
      <c r="K420" s="948">
        <v>0.64800000000000002</v>
      </c>
      <c r="L420" s="948">
        <v>5.1840000000000002</v>
      </c>
      <c r="M420" s="952"/>
      <c r="N420" s="950">
        <v>16</v>
      </c>
      <c r="O420" s="950">
        <v>16</v>
      </c>
      <c r="P420" s="950">
        <v>16</v>
      </c>
      <c r="Q420" s="950">
        <v>16</v>
      </c>
      <c r="R420" s="950">
        <v>16</v>
      </c>
      <c r="S420" s="950">
        <v>16</v>
      </c>
      <c r="T420" s="950">
        <v>8</v>
      </c>
      <c r="U420" s="950"/>
      <c r="V420" s="950"/>
      <c r="W420" s="950">
        <v>200</v>
      </c>
      <c r="X420" s="950">
        <v>100</v>
      </c>
      <c r="Y420" s="950">
        <v>100</v>
      </c>
      <c r="Z420" s="950">
        <v>9</v>
      </c>
      <c r="AA420" s="950">
        <v>6</v>
      </c>
      <c r="AB420" s="950">
        <v>4</v>
      </c>
      <c r="AC420" s="950">
        <v>4</v>
      </c>
      <c r="AD420" s="950">
        <v>9</v>
      </c>
      <c r="AE420" s="950">
        <v>6</v>
      </c>
      <c r="AF420" s="955">
        <v>7.75</v>
      </c>
      <c r="AG420" s="955">
        <v>28</v>
      </c>
      <c r="AH420" s="955">
        <v>14.5</v>
      </c>
      <c r="AI420" s="955">
        <v>0</v>
      </c>
      <c r="AJ420" s="955">
        <v>0</v>
      </c>
      <c r="AK420" s="948">
        <v>2.1500000000000004</v>
      </c>
      <c r="AL420" s="948">
        <v>2.1500000000000004</v>
      </c>
      <c r="AM420" s="948">
        <v>3.2120000000000002</v>
      </c>
      <c r="AN420" s="948">
        <v>3.2120000000000002</v>
      </c>
      <c r="AO420" s="948">
        <v>2.1500000000000004</v>
      </c>
      <c r="AP420" s="948">
        <v>2.1500000000000004</v>
      </c>
      <c r="AQ420" s="948">
        <v>1.508</v>
      </c>
      <c r="AR420" s="948">
        <v>0</v>
      </c>
      <c r="AS420" s="948">
        <v>0</v>
      </c>
      <c r="AT420" s="948">
        <v>19.350000000000001</v>
      </c>
      <c r="AU420" s="948">
        <v>12.900000000000002</v>
      </c>
      <c r="AV420" s="948">
        <v>12.848000000000001</v>
      </c>
      <c r="AW420" s="948">
        <v>12.848000000000001</v>
      </c>
      <c r="AX420" s="948">
        <v>19.350000000000001</v>
      </c>
      <c r="AY420" s="948">
        <v>12.900000000000002</v>
      </c>
      <c r="AZ420" s="948">
        <v>75.777000000000001</v>
      </c>
      <c r="BA420" s="948">
        <v>0</v>
      </c>
      <c r="BB420" s="948">
        <v>0</v>
      </c>
      <c r="BC420" s="957">
        <v>1.5786666666666667</v>
      </c>
      <c r="BD420" s="957">
        <v>1.5786666666666667</v>
      </c>
      <c r="BE420" s="957">
        <v>1.5786666666666667</v>
      </c>
      <c r="BF420" s="957">
        <v>1.5786666666666667</v>
      </c>
      <c r="BG420" s="957">
        <v>1.5786666666666667</v>
      </c>
      <c r="BH420" s="957">
        <v>1.5786666666666667</v>
      </c>
      <c r="BI420" s="957">
        <v>0.39466666666666667</v>
      </c>
      <c r="BJ420" s="957">
        <v>0</v>
      </c>
      <c r="BK420" s="957">
        <v>0</v>
      </c>
      <c r="BL420" s="948">
        <v>30.547200000000004</v>
      </c>
      <c r="BM420" s="948">
        <v>20.364800000000002</v>
      </c>
      <c r="BN420" s="948">
        <v>20.282709333333333</v>
      </c>
      <c r="BO420" s="948">
        <v>20.282709333333333</v>
      </c>
      <c r="BP420" s="948">
        <v>30.547200000000004</v>
      </c>
      <c r="BQ420" s="948">
        <v>20.364800000000002</v>
      </c>
      <c r="BR420" s="948">
        <v>29.906656000000002</v>
      </c>
      <c r="BS420" s="948">
        <v>0</v>
      </c>
      <c r="BT420" s="955">
        <v>265.88900411522633</v>
      </c>
    </row>
    <row r="421" spans="1:72">
      <c r="A421" s="952">
        <v>8</v>
      </c>
      <c r="B421" s="952" t="s">
        <v>1179</v>
      </c>
      <c r="C421" s="950" t="s">
        <v>1125</v>
      </c>
      <c r="D421" s="950">
        <v>1</v>
      </c>
      <c r="E421" s="950">
        <v>1</v>
      </c>
      <c r="F421" s="948">
        <v>8</v>
      </c>
      <c r="G421" s="948">
        <v>0.3</v>
      </c>
      <c r="H421" s="948">
        <v>0.65</v>
      </c>
      <c r="I421" s="948">
        <v>0.12</v>
      </c>
      <c r="J421" s="948">
        <f t="shared" ref="J421:J424" si="1040">H421-I421</f>
        <v>0.53</v>
      </c>
      <c r="K421" s="948">
        <f t="shared" ref="K421:K424" si="1041">F421*G421*J421*D421*E421</f>
        <v>1.272</v>
      </c>
      <c r="L421" s="948">
        <f t="shared" ref="L421:L424" si="1042">(2*J421)*F421*E421*D421</f>
        <v>8.48</v>
      </c>
      <c r="M421" s="952"/>
      <c r="N421" s="950">
        <v>16</v>
      </c>
      <c r="O421" s="950">
        <v>16</v>
      </c>
      <c r="P421" s="950">
        <v>16</v>
      </c>
      <c r="Q421" s="950">
        <v>16</v>
      </c>
      <c r="R421" s="950">
        <v>16</v>
      </c>
      <c r="S421" s="950">
        <v>16</v>
      </c>
      <c r="T421" s="950">
        <v>8</v>
      </c>
      <c r="U421" s="950"/>
      <c r="V421" s="950"/>
      <c r="W421" s="950">
        <v>200</v>
      </c>
      <c r="X421" s="950">
        <v>100</v>
      </c>
      <c r="Y421" s="950">
        <v>100</v>
      </c>
      <c r="Z421" s="950">
        <v>9</v>
      </c>
      <c r="AA421" s="950">
        <v>6</v>
      </c>
      <c r="AB421" s="950">
        <v>4</v>
      </c>
      <c r="AC421" s="950">
        <v>4</v>
      </c>
      <c r="AD421" s="950">
        <v>9</v>
      </c>
      <c r="AE421" s="950">
        <v>6</v>
      </c>
      <c r="AF421" s="955">
        <f t="shared" ref="AF421:AF424" si="1043">(F421/4)/(W421/1000)+1</f>
        <v>11</v>
      </c>
      <c r="AG421" s="955">
        <f t="shared" ref="AG421:AG424" si="1044">(F421/2)/(X421/1000)+1</f>
        <v>41</v>
      </c>
      <c r="AH421" s="955">
        <f t="shared" ref="AH421:AH424" si="1045">(F421/4)/(Y421/1000)+1</f>
        <v>21</v>
      </c>
      <c r="AI421" s="955">
        <v>0</v>
      </c>
      <c r="AJ421" s="955">
        <v>0</v>
      </c>
      <c r="AK421" s="948">
        <f t="shared" ref="AK421:AK424" si="1046">(F421/4)+(20*N421/1000)+(10*N421/1000)+(8*N421/1000)+(6*2*N421/1000)</f>
        <v>2.8000000000000003</v>
      </c>
      <c r="AL421" s="948">
        <f t="shared" ref="AL421:AL424" si="1047">(F421/4)+(20*O421/1000)+(10*O421/1000)+(8*O421/1000)+(6*2*O421/1000)</f>
        <v>2.8000000000000003</v>
      </c>
      <c r="AM421" s="948">
        <f t="shared" ref="AM421:AM424" si="1048">(F421/2)+(20*P421/1000)+(6*2*P421/1000)</f>
        <v>4.5120000000000005</v>
      </c>
      <c r="AN421" s="948">
        <f t="shared" ref="AN421:AN424" si="1049">(F421/2)+(20*Q421/1000)+(6*2*Q421/1000)</f>
        <v>4.5120000000000005</v>
      </c>
      <c r="AO421" s="948">
        <f t="shared" ref="AO421:AO424" si="1050">(F421/4)+(20*R421/1000)+(10*R421/1000)+(8*R421/1000)+(6*2*R421/1000)</f>
        <v>2.8000000000000003</v>
      </c>
      <c r="AP421" s="948">
        <f t="shared" ref="AP421:AP424" si="1051">(F421/4)+(20*S421/1000)+(10*S421/1000)+(8*S421/1000)+(6*2*S421/1000)</f>
        <v>2.8000000000000003</v>
      </c>
      <c r="AQ421" s="948">
        <f t="shared" ref="AQ421:AQ424" si="1052">(2*G421)+(2*H421)+(6*T421/1000)-(8*0.03)</f>
        <v>1.708</v>
      </c>
      <c r="AR421" s="948">
        <f t="shared" ref="AR421:AR424" si="1053">((H421)+(2*6*U421/1000)-(2*0.03))*AI421</f>
        <v>0</v>
      </c>
      <c r="AS421" s="948">
        <f t="shared" ref="AS421:AS424" si="1054">((G421)+(2*6*V421/1000)-(2*0.03))*AJ421</f>
        <v>0</v>
      </c>
      <c r="AT421" s="948">
        <f t="shared" ref="AT421:AT424" si="1055">AK421*Z421*E421*D421</f>
        <v>25.200000000000003</v>
      </c>
      <c r="AU421" s="948">
        <f t="shared" ref="AU421:AU424" si="1056">AL421*AA421*E421*D421</f>
        <v>16.8</v>
      </c>
      <c r="AV421" s="948">
        <f t="shared" ref="AV421:AV424" si="1057">AM421*AB421*E421*D421</f>
        <v>18.048000000000002</v>
      </c>
      <c r="AW421" s="948">
        <f t="shared" ref="AW421:AW424" si="1058">AN421*AC421*E421*D421</f>
        <v>18.048000000000002</v>
      </c>
      <c r="AX421" s="948">
        <f t="shared" ref="AX421:AX424" si="1059">AO421*AD421*E421*D421</f>
        <v>25.200000000000003</v>
      </c>
      <c r="AY421" s="948">
        <f t="shared" ref="AY421:AY424" si="1060">AP421*AE421*E421*D421</f>
        <v>16.8</v>
      </c>
      <c r="AZ421" s="948">
        <f t="shared" ref="AZ421:AZ424" si="1061">AQ421*(AF421+AG421+AH421)*E421*D421</f>
        <v>124.684</v>
      </c>
      <c r="BA421" s="948">
        <f t="shared" ref="BA421:BA424" si="1062">AR421*(AF421+AG421+AH421)*E421*D421</f>
        <v>0</v>
      </c>
      <c r="BB421" s="948">
        <f t="shared" ref="BB421:BB424" si="1063">AS421*(AF421+AG421+AH421)*E421*D421</f>
        <v>0</v>
      </c>
      <c r="BC421" s="957">
        <f t="shared" ref="BC421:BK424" si="1064">N421*N421*0.074/12</f>
        <v>1.5786666666666667</v>
      </c>
      <c r="BD421" s="957">
        <f t="shared" si="1064"/>
        <v>1.5786666666666667</v>
      </c>
      <c r="BE421" s="957">
        <f t="shared" si="1064"/>
        <v>1.5786666666666667</v>
      </c>
      <c r="BF421" s="957">
        <f t="shared" si="1064"/>
        <v>1.5786666666666667</v>
      </c>
      <c r="BG421" s="957">
        <f t="shared" si="1064"/>
        <v>1.5786666666666667</v>
      </c>
      <c r="BH421" s="957">
        <f t="shared" si="1064"/>
        <v>1.5786666666666667</v>
      </c>
      <c r="BI421" s="957">
        <f t="shared" si="1064"/>
        <v>0.39466666666666667</v>
      </c>
      <c r="BJ421" s="957">
        <f t="shared" si="1064"/>
        <v>0</v>
      </c>
      <c r="BK421" s="957">
        <f t="shared" si="1064"/>
        <v>0</v>
      </c>
      <c r="BL421" s="948">
        <f t="shared" ref="BL421:BR424" si="1065">AT421*BC421</f>
        <v>39.782400000000003</v>
      </c>
      <c r="BM421" s="948">
        <f t="shared" si="1065"/>
        <v>26.521599999999999</v>
      </c>
      <c r="BN421" s="948">
        <f t="shared" si="1065"/>
        <v>28.491776000000002</v>
      </c>
      <c r="BO421" s="948">
        <f t="shared" si="1065"/>
        <v>28.491776000000002</v>
      </c>
      <c r="BP421" s="948">
        <f t="shared" si="1065"/>
        <v>39.782400000000003</v>
      </c>
      <c r="BQ421" s="948">
        <f t="shared" si="1065"/>
        <v>26.521599999999999</v>
      </c>
      <c r="BR421" s="948">
        <f t="shared" si="1065"/>
        <v>49.208618666666666</v>
      </c>
      <c r="BS421" s="948">
        <f>BB421*BK421</f>
        <v>0</v>
      </c>
      <c r="BT421" s="955">
        <f>SUM(BL421:BS421)/K421</f>
        <v>187.73598322851154</v>
      </c>
    </row>
    <row r="422" spans="1:72">
      <c r="A422" s="952">
        <v>9</v>
      </c>
      <c r="B422" s="952" t="s">
        <v>1180</v>
      </c>
      <c r="C422" s="950" t="s">
        <v>1127</v>
      </c>
      <c r="D422" s="950">
        <v>1</v>
      </c>
      <c r="E422" s="950">
        <v>1</v>
      </c>
      <c r="F422" s="948">
        <v>8.4</v>
      </c>
      <c r="G422" s="948">
        <v>0.3</v>
      </c>
      <c r="H422" s="948">
        <v>0.65</v>
      </c>
      <c r="I422" s="948">
        <v>0.12</v>
      </c>
      <c r="J422" s="948">
        <f t="shared" si="1040"/>
        <v>0.53</v>
      </c>
      <c r="K422" s="948">
        <f t="shared" si="1041"/>
        <v>1.3356000000000001</v>
      </c>
      <c r="L422" s="948">
        <f t="shared" si="1042"/>
        <v>8.9040000000000017</v>
      </c>
      <c r="M422" s="952"/>
      <c r="N422" s="950">
        <v>16</v>
      </c>
      <c r="O422" s="950">
        <v>16</v>
      </c>
      <c r="P422" s="950">
        <v>16</v>
      </c>
      <c r="Q422" s="950">
        <v>16</v>
      </c>
      <c r="R422" s="950">
        <v>16</v>
      </c>
      <c r="S422" s="950">
        <v>16</v>
      </c>
      <c r="T422" s="950">
        <v>8</v>
      </c>
      <c r="U422" s="950"/>
      <c r="V422" s="950"/>
      <c r="W422" s="950">
        <v>200</v>
      </c>
      <c r="X422" s="950">
        <v>100</v>
      </c>
      <c r="Y422" s="950">
        <v>100</v>
      </c>
      <c r="Z422" s="950">
        <v>9</v>
      </c>
      <c r="AA422" s="950">
        <v>6</v>
      </c>
      <c r="AB422" s="950">
        <v>4</v>
      </c>
      <c r="AC422" s="950">
        <v>4</v>
      </c>
      <c r="AD422" s="950">
        <v>9</v>
      </c>
      <c r="AE422" s="950">
        <v>6</v>
      </c>
      <c r="AF422" s="955">
        <f t="shared" si="1043"/>
        <v>11.5</v>
      </c>
      <c r="AG422" s="955">
        <f t="shared" si="1044"/>
        <v>43</v>
      </c>
      <c r="AH422" s="955">
        <f t="shared" si="1045"/>
        <v>22</v>
      </c>
      <c r="AI422" s="955">
        <v>0</v>
      </c>
      <c r="AJ422" s="955">
        <v>0</v>
      </c>
      <c r="AK422" s="948">
        <f t="shared" si="1046"/>
        <v>2.9000000000000004</v>
      </c>
      <c r="AL422" s="948">
        <f t="shared" si="1047"/>
        <v>2.9000000000000004</v>
      </c>
      <c r="AM422" s="948">
        <f t="shared" si="1048"/>
        <v>4.7120000000000006</v>
      </c>
      <c r="AN422" s="948">
        <f t="shared" si="1049"/>
        <v>4.7120000000000006</v>
      </c>
      <c r="AO422" s="948">
        <f t="shared" si="1050"/>
        <v>2.9000000000000004</v>
      </c>
      <c r="AP422" s="948">
        <f t="shared" si="1051"/>
        <v>2.9000000000000004</v>
      </c>
      <c r="AQ422" s="948">
        <f t="shared" si="1052"/>
        <v>1.708</v>
      </c>
      <c r="AR422" s="948">
        <f t="shared" si="1053"/>
        <v>0</v>
      </c>
      <c r="AS422" s="948">
        <f t="shared" si="1054"/>
        <v>0</v>
      </c>
      <c r="AT422" s="948">
        <f t="shared" si="1055"/>
        <v>26.1</v>
      </c>
      <c r="AU422" s="948">
        <f t="shared" si="1056"/>
        <v>17.400000000000002</v>
      </c>
      <c r="AV422" s="948">
        <f t="shared" si="1057"/>
        <v>18.848000000000003</v>
      </c>
      <c r="AW422" s="948">
        <f t="shared" si="1058"/>
        <v>18.848000000000003</v>
      </c>
      <c r="AX422" s="948">
        <f t="shared" si="1059"/>
        <v>26.1</v>
      </c>
      <c r="AY422" s="948">
        <f t="shared" si="1060"/>
        <v>17.400000000000002</v>
      </c>
      <c r="AZ422" s="948">
        <f t="shared" si="1061"/>
        <v>130.66200000000001</v>
      </c>
      <c r="BA422" s="948">
        <f t="shared" si="1062"/>
        <v>0</v>
      </c>
      <c r="BB422" s="948">
        <f t="shared" si="1063"/>
        <v>0</v>
      </c>
      <c r="BC422" s="957">
        <f t="shared" si="1064"/>
        <v>1.5786666666666667</v>
      </c>
      <c r="BD422" s="957">
        <f t="shared" si="1064"/>
        <v>1.5786666666666667</v>
      </c>
      <c r="BE422" s="957">
        <f t="shared" si="1064"/>
        <v>1.5786666666666667</v>
      </c>
      <c r="BF422" s="957">
        <f t="shared" si="1064"/>
        <v>1.5786666666666667</v>
      </c>
      <c r="BG422" s="957">
        <f t="shared" si="1064"/>
        <v>1.5786666666666667</v>
      </c>
      <c r="BH422" s="957">
        <f t="shared" si="1064"/>
        <v>1.5786666666666667</v>
      </c>
      <c r="BI422" s="957">
        <f t="shared" si="1064"/>
        <v>0.39466666666666667</v>
      </c>
      <c r="BJ422" s="957">
        <f t="shared" si="1064"/>
        <v>0</v>
      </c>
      <c r="BK422" s="957">
        <f t="shared" si="1064"/>
        <v>0</v>
      </c>
      <c r="BL422" s="948">
        <f t="shared" si="1065"/>
        <v>41.203200000000002</v>
      </c>
      <c r="BM422" s="948">
        <f t="shared" si="1065"/>
        <v>27.468800000000002</v>
      </c>
      <c r="BN422" s="948">
        <f t="shared" si="1065"/>
        <v>29.754709333333338</v>
      </c>
      <c r="BO422" s="948">
        <f t="shared" si="1065"/>
        <v>29.754709333333338</v>
      </c>
      <c r="BP422" s="948">
        <f t="shared" si="1065"/>
        <v>41.203200000000002</v>
      </c>
      <c r="BQ422" s="948">
        <f t="shared" si="1065"/>
        <v>27.468800000000002</v>
      </c>
      <c r="BR422" s="948">
        <f t="shared" si="1065"/>
        <v>51.567936000000003</v>
      </c>
      <c r="BS422" s="948">
        <f>BB422*BK422</f>
        <v>0</v>
      </c>
      <c r="BT422" s="955">
        <f>SUM(BL422:BS422)/K422</f>
        <v>185.99981631226916</v>
      </c>
    </row>
    <row r="423" spans="1:72">
      <c r="A423" s="952">
        <v>10</v>
      </c>
      <c r="B423" s="952" t="s">
        <v>1194</v>
      </c>
      <c r="C423" s="950" t="s">
        <v>1195</v>
      </c>
      <c r="D423" s="950">
        <v>1</v>
      </c>
      <c r="E423" s="950">
        <v>1</v>
      </c>
      <c r="F423" s="948">
        <v>12</v>
      </c>
      <c r="G423" s="948">
        <v>0.35</v>
      </c>
      <c r="H423" s="948">
        <v>0.8</v>
      </c>
      <c r="I423" s="948">
        <v>0.12</v>
      </c>
      <c r="J423" s="948">
        <f t="shared" si="1040"/>
        <v>0.68</v>
      </c>
      <c r="K423" s="948">
        <f t="shared" si="1041"/>
        <v>2.8559999999999999</v>
      </c>
      <c r="L423" s="948">
        <f t="shared" si="1042"/>
        <v>16.32</v>
      </c>
      <c r="M423" s="952"/>
      <c r="N423" s="950">
        <v>25</v>
      </c>
      <c r="O423" s="950">
        <v>25</v>
      </c>
      <c r="P423" s="950">
        <v>25</v>
      </c>
      <c r="Q423" s="950">
        <v>25</v>
      </c>
      <c r="R423" s="950">
        <v>25</v>
      </c>
      <c r="S423" s="950">
        <v>25</v>
      </c>
      <c r="T423" s="950">
        <v>8</v>
      </c>
      <c r="U423" s="950"/>
      <c r="V423" s="950"/>
      <c r="W423" s="950">
        <v>200</v>
      </c>
      <c r="X423" s="950">
        <v>100</v>
      </c>
      <c r="Y423" s="950">
        <v>100</v>
      </c>
      <c r="Z423" s="950">
        <v>9</v>
      </c>
      <c r="AA423" s="950">
        <v>6</v>
      </c>
      <c r="AB423" s="950">
        <v>4</v>
      </c>
      <c r="AC423" s="950">
        <v>4</v>
      </c>
      <c r="AD423" s="950">
        <v>9</v>
      </c>
      <c r="AE423" s="950">
        <v>6</v>
      </c>
      <c r="AF423" s="955">
        <f t="shared" si="1043"/>
        <v>16</v>
      </c>
      <c r="AG423" s="955">
        <f t="shared" si="1044"/>
        <v>61</v>
      </c>
      <c r="AH423" s="955">
        <f t="shared" si="1045"/>
        <v>31</v>
      </c>
      <c r="AI423" s="955">
        <v>0</v>
      </c>
      <c r="AJ423" s="955">
        <v>0</v>
      </c>
      <c r="AK423" s="948">
        <f t="shared" si="1046"/>
        <v>4.25</v>
      </c>
      <c r="AL423" s="948">
        <f t="shared" si="1047"/>
        <v>4.25</v>
      </c>
      <c r="AM423" s="948">
        <f t="shared" si="1048"/>
        <v>6.8</v>
      </c>
      <c r="AN423" s="948">
        <f t="shared" si="1049"/>
        <v>6.8</v>
      </c>
      <c r="AO423" s="948">
        <f t="shared" si="1050"/>
        <v>4.25</v>
      </c>
      <c r="AP423" s="948">
        <f t="shared" si="1051"/>
        <v>4.25</v>
      </c>
      <c r="AQ423" s="948">
        <f t="shared" si="1052"/>
        <v>2.1079999999999997</v>
      </c>
      <c r="AR423" s="948">
        <f t="shared" si="1053"/>
        <v>0</v>
      </c>
      <c r="AS423" s="948">
        <f t="shared" si="1054"/>
        <v>0</v>
      </c>
      <c r="AT423" s="948">
        <f t="shared" si="1055"/>
        <v>38.25</v>
      </c>
      <c r="AU423" s="948">
        <f t="shared" si="1056"/>
        <v>25.5</v>
      </c>
      <c r="AV423" s="948">
        <f t="shared" si="1057"/>
        <v>27.2</v>
      </c>
      <c r="AW423" s="948">
        <f t="shared" si="1058"/>
        <v>27.2</v>
      </c>
      <c r="AX423" s="948">
        <f t="shared" si="1059"/>
        <v>38.25</v>
      </c>
      <c r="AY423" s="948">
        <f t="shared" si="1060"/>
        <v>25.5</v>
      </c>
      <c r="AZ423" s="948">
        <f t="shared" si="1061"/>
        <v>227.66399999999996</v>
      </c>
      <c r="BA423" s="948">
        <f t="shared" si="1062"/>
        <v>0</v>
      </c>
      <c r="BB423" s="948">
        <f t="shared" si="1063"/>
        <v>0</v>
      </c>
      <c r="BC423" s="957">
        <f t="shared" si="1064"/>
        <v>3.8541666666666665</v>
      </c>
      <c r="BD423" s="957">
        <f t="shared" si="1064"/>
        <v>3.8541666666666665</v>
      </c>
      <c r="BE423" s="957">
        <f t="shared" si="1064"/>
        <v>3.8541666666666665</v>
      </c>
      <c r="BF423" s="957">
        <f t="shared" si="1064"/>
        <v>3.8541666666666665</v>
      </c>
      <c r="BG423" s="957">
        <f t="shared" si="1064"/>
        <v>3.8541666666666665</v>
      </c>
      <c r="BH423" s="957">
        <f t="shared" si="1064"/>
        <v>3.8541666666666665</v>
      </c>
      <c r="BI423" s="957">
        <f t="shared" si="1064"/>
        <v>0.39466666666666667</v>
      </c>
      <c r="BJ423" s="957">
        <f t="shared" si="1064"/>
        <v>0</v>
      </c>
      <c r="BK423" s="957">
        <f t="shared" si="1064"/>
        <v>0</v>
      </c>
      <c r="BL423" s="948">
        <f t="shared" si="1065"/>
        <v>147.421875</v>
      </c>
      <c r="BM423" s="948">
        <f t="shared" si="1065"/>
        <v>98.28125</v>
      </c>
      <c r="BN423" s="948">
        <f t="shared" si="1065"/>
        <v>104.83333333333333</v>
      </c>
      <c r="BO423" s="948">
        <f t="shared" si="1065"/>
        <v>104.83333333333333</v>
      </c>
      <c r="BP423" s="948">
        <f t="shared" si="1065"/>
        <v>147.421875</v>
      </c>
      <c r="BQ423" s="948">
        <f t="shared" si="1065"/>
        <v>98.28125</v>
      </c>
      <c r="BR423" s="948">
        <f t="shared" si="1065"/>
        <v>89.85139199999999</v>
      </c>
      <c r="BS423" s="948">
        <f>BB423*BK423</f>
        <v>0</v>
      </c>
      <c r="BT423" s="955">
        <f>SUM(BL423:BS423)/K423</f>
        <v>276.93428174603173</v>
      </c>
    </row>
    <row r="424" spans="1:72">
      <c r="A424" s="952">
        <v>11</v>
      </c>
      <c r="B424" s="952" t="s">
        <v>1196</v>
      </c>
      <c r="C424" s="950" t="s">
        <v>1197</v>
      </c>
      <c r="D424" s="950">
        <v>1</v>
      </c>
      <c r="E424" s="950">
        <v>1</v>
      </c>
      <c r="F424" s="948">
        <v>16</v>
      </c>
      <c r="G424" s="948">
        <v>0.3</v>
      </c>
      <c r="H424" s="948">
        <v>0.7</v>
      </c>
      <c r="I424" s="948">
        <v>0.12</v>
      </c>
      <c r="J424" s="948">
        <f t="shared" si="1040"/>
        <v>0.57999999999999996</v>
      </c>
      <c r="K424" s="948">
        <f t="shared" si="1041"/>
        <v>2.7839999999999998</v>
      </c>
      <c r="L424" s="948">
        <f t="shared" si="1042"/>
        <v>18.559999999999999</v>
      </c>
      <c r="M424" s="952"/>
      <c r="N424" s="950">
        <v>16</v>
      </c>
      <c r="O424" s="950">
        <v>16</v>
      </c>
      <c r="P424" s="950">
        <v>16</v>
      </c>
      <c r="Q424" s="950">
        <v>16</v>
      </c>
      <c r="R424" s="950">
        <v>16</v>
      </c>
      <c r="S424" s="950">
        <v>16</v>
      </c>
      <c r="T424" s="950">
        <v>8</v>
      </c>
      <c r="U424" s="950"/>
      <c r="V424" s="950"/>
      <c r="W424" s="950">
        <v>200</v>
      </c>
      <c r="X424" s="950">
        <v>100</v>
      </c>
      <c r="Y424" s="950">
        <v>100</v>
      </c>
      <c r="Z424" s="950">
        <v>9</v>
      </c>
      <c r="AA424" s="950">
        <v>6</v>
      </c>
      <c r="AB424" s="950">
        <v>4</v>
      </c>
      <c r="AC424" s="950">
        <v>4</v>
      </c>
      <c r="AD424" s="950">
        <v>9</v>
      </c>
      <c r="AE424" s="950">
        <v>6</v>
      </c>
      <c r="AF424" s="955">
        <f t="shared" si="1043"/>
        <v>21</v>
      </c>
      <c r="AG424" s="955">
        <f t="shared" si="1044"/>
        <v>81</v>
      </c>
      <c r="AH424" s="955">
        <f t="shared" si="1045"/>
        <v>41</v>
      </c>
      <c r="AI424" s="955">
        <v>0</v>
      </c>
      <c r="AJ424" s="955">
        <v>0</v>
      </c>
      <c r="AK424" s="948">
        <f t="shared" si="1046"/>
        <v>4.8000000000000007</v>
      </c>
      <c r="AL424" s="948">
        <f t="shared" si="1047"/>
        <v>4.8000000000000007</v>
      </c>
      <c r="AM424" s="948">
        <f t="shared" si="1048"/>
        <v>8.5120000000000005</v>
      </c>
      <c r="AN424" s="948">
        <f t="shared" si="1049"/>
        <v>8.5120000000000005</v>
      </c>
      <c r="AO424" s="948">
        <f t="shared" si="1050"/>
        <v>4.8000000000000007</v>
      </c>
      <c r="AP424" s="948">
        <f t="shared" si="1051"/>
        <v>4.8000000000000007</v>
      </c>
      <c r="AQ424" s="948">
        <f t="shared" si="1052"/>
        <v>1.8080000000000001</v>
      </c>
      <c r="AR424" s="948">
        <f t="shared" si="1053"/>
        <v>0</v>
      </c>
      <c r="AS424" s="948">
        <f t="shared" si="1054"/>
        <v>0</v>
      </c>
      <c r="AT424" s="948">
        <f t="shared" si="1055"/>
        <v>43.2</v>
      </c>
      <c r="AU424" s="948">
        <f t="shared" si="1056"/>
        <v>28.800000000000004</v>
      </c>
      <c r="AV424" s="948">
        <f t="shared" si="1057"/>
        <v>34.048000000000002</v>
      </c>
      <c r="AW424" s="948">
        <f t="shared" si="1058"/>
        <v>34.048000000000002</v>
      </c>
      <c r="AX424" s="948">
        <f t="shared" si="1059"/>
        <v>43.2</v>
      </c>
      <c r="AY424" s="948">
        <f t="shared" si="1060"/>
        <v>28.800000000000004</v>
      </c>
      <c r="AZ424" s="948">
        <f t="shared" si="1061"/>
        <v>258.54399999999998</v>
      </c>
      <c r="BA424" s="948">
        <f t="shared" si="1062"/>
        <v>0</v>
      </c>
      <c r="BB424" s="948">
        <f t="shared" si="1063"/>
        <v>0</v>
      </c>
      <c r="BC424" s="957">
        <f t="shared" si="1064"/>
        <v>1.5786666666666667</v>
      </c>
      <c r="BD424" s="957">
        <f t="shared" si="1064"/>
        <v>1.5786666666666667</v>
      </c>
      <c r="BE424" s="957">
        <f t="shared" si="1064"/>
        <v>1.5786666666666667</v>
      </c>
      <c r="BF424" s="957">
        <f t="shared" si="1064"/>
        <v>1.5786666666666667</v>
      </c>
      <c r="BG424" s="957">
        <f t="shared" si="1064"/>
        <v>1.5786666666666667</v>
      </c>
      <c r="BH424" s="957">
        <f t="shared" si="1064"/>
        <v>1.5786666666666667</v>
      </c>
      <c r="BI424" s="957">
        <f t="shared" si="1064"/>
        <v>0.39466666666666667</v>
      </c>
      <c r="BJ424" s="957">
        <f t="shared" si="1064"/>
        <v>0</v>
      </c>
      <c r="BK424" s="957">
        <f t="shared" si="1064"/>
        <v>0</v>
      </c>
      <c r="BL424" s="948">
        <f t="shared" si="1065"/>
        <v>68.198400000000007</v>
      </c>
      <c r="BM424" s="948">
        <f t="shared" si="1065"/>
        <v>45.465600000000009</v>
      </c>
      <c r="BN424" s="948">
        <f t="shared" si="1065"/>
        <v>53.750442666666672</v>
      </c>
      <c r="BO424" s="948">
        <f t="shared" si="1065"/>
        <v>53.750442666666672</v>
      </c>
      <c r="BP424" s="948">
        <f t="shared" si="1065"/>
        <v>68.198400000000007</v>
      </c>
      <c r="BQ424" s="948">
        <f t="shared" si="1065"/>
        <v>45.465600000000009</v>
      </c>
      <c r="BR424" s="948">
        <f t="shared" si="1065"/>
        <v>102.03869866666666</v>
      </c>
      <c r="BS424" s="948">
        <f>BB424*BK424</f>
        <v>0</v>
      </c>
      <c r="BT424" s="955">
        <f>SUM(BL424:BS424)/K424</f>
        <v>156.92082758620691</v>
      </c>
    </row>
    <row r="425" spans="1:72">
      <c r="A425" s="952"/>
      <c r="B425" s="952"/>
      <c r="C425" s="950"/>
      <c r="D425" s="950"/>
      <c r="E425" s="950"/>
      <c r="F425" s="948"/>
      <c r="G425" s="948"/>
      <c r="H425" s="948"/>
      <c r="I425" s="948"/>
      <c r="J425" s="948"/>
      <c r="K425" s="948">
        <f>SUM(K406:K424)</f>
        <v>68.524200000000022</v>
      </c>
      <c r="L425" s="948">
        <f>SUM(L406:L424)</f>
        <v>484.51200000000006</v>
      </c>
      <c r="M425" s="952"/>
      <c r="N425" s="950"/>
      <c r="O425" s="950"/>
      <c r="P425" s="950"/>
      <c r="Q425" s="950"/>
      <c r="R425" s="950"/>
      <c r="S425" s="950"/>
      <c r="T425" s="950"/>
      <c r="U425" s="950"/>
      <c r="V425" s="950"/>
      <c r="W425" s="950"/>
      <c r="X425" s="950"/>
      <c r="Y425" s="950"/>
      <c r="Z425" s="950"/>
      <c r="AA425" s="950"/>
      <c r="AB425" s="950"/>
      <c r="AC425" s="950"/>
      <c r="AD425" s="950"/>
      <c r="AE425" s="950"/>
      <c r="AF425" s="955"/>
      <c r="AG425" s="955"/>
      <c r="AH425" s="955"/>
      <c r="AI425" s="955"/>
      <c r="AJ425" s="955"/>
      <c r="AK425" s="948"/>
      <c r="AL425" s="948"/>
      <c r="AM425" s="948"/>
      <c r="AN425" s="948"/>
      <c r="AO425" s="948"/>
      <c r="AP425" s="948"/>
      <c r="AQ425" s="948"/>
      <c r="AR425" s="948"/>
      <c r="AS425" s="948"/>
      <c r="AT425" s="948"/>
      <c r="AU425" s="948"/>
      <c r="AV425" s="948"/>
      <c r="AW425" s="948"/>
      <c r="AX425" s="948"/>
      <c r="AY425" s="948"/>
      <c r="AZ425" s="948"/>
      <c r="BA425" s="948"/>
      <c r="BB425" s="948"/>
      <c r="BC425" s="957"/>
      <c r="BD425" s="957"/>
      <c r="BE425" s="957"/>
      <c r="BF425" s="957"/>
      <c r="BG425" s="957"/>
      <c r="BH425" s="957"/>
      <c r="BI425" s="957"/>
      <c r="BJ425" s="957"/>
      <c r="BK425" s="957"/>
      <c r="BL425" s="948"/>
      <c r="BM425" s="948"/>
      <c r="BN425" s="948"/>
      <c r="BO425" s="948"/>
      <c r="BP425" s="948"/>
      <c r="BQ425" s="948"/>
      <c r="BR425" s="948"/>
      <c r="BS425" s="948"/>
      <c r="BT425" s="955"/>
    </row>
    <row r="426" spans="1:72">
      <c r="A426" s="949" t="s">
        <v>66</v>
      </c>
      <c r="B426" s="949" t="s">
        <v>1050</v>
      </c>
      <c r="C426" s="949" t="s">
        <v>983</v>
      </c>
      <c r="D426" s="950" t="s">
        <v>1051</v>
      </c>
      <c r="E426" s="950" t="s">
        <v>1052</v>
      </c>
      <c r="F426" s="951" t="s">
        <v>984</v>
      </c>
      <c r="G426" s="951"/>
      <c r="H426" s="951"/>
      <c r="I426" s="948" t="s">
        <v>985</v>
      </c>
      <c r="J426" s="948" t="s">
        <v>1053</v>
      </c>
      <c r="K426" s="948" t="s">
        <v>392</v>
      </c>
      <c r="L426" s="948" t="s">
        <v>377</v>
      </c>
      <c r="M426" s="952"/>
      <c r="N426" s="949" t="s">
        <v>1054</v>
      </c>
      <c r="O426" s="949"/>
      <c r="P426" s="949"/>
      <c r="Q426" s="949"/>
      <c r="R426" s="949"/>
      <c r="S426" s="949"/>
      <c r="T426" s="949" t="s">
        <v>1055</v>
      </c>
      <c r="U426" s="949"/>
      <c r="V426" s="949"/>
      <c r="W426" s="949" t="s">
        <v>989</v>
      </c>
      <c r="X426" s="949"/>
      <c r="Y426" s="949"/>
      <c r="Z426" s="949" t="s">
        <v>1056</v>
      </c>
      <c r="AA426" s="949"/>
      <c r="AB426" s="949"/>
      <c r="AC426" s="949"/>
      <c r="AD426" s="949"/>
      <c r="AE426" s="949"/>
      <c r="AF426" s="953" t="s">
        <v>1057</v>
      </c>
      <c r="AG426" s="953"/>
      <c r="AH426" s="953"/>
      <c r="AI426" s="953"/>
      <c r="AJ426" s="953"/>
      <c r="AK426" s="951" t="s">
        <v>1058</v>
      </c>
      <c r="AL426" s="951"/>
      <c r="AM426" s="951"/>
      <c r="AN426" s="951"/>
      <c r="AO426" s="951"/>
      <c r="AP426" s="951"/>
      <c r="AQ426" s="951" t="s">
        <v>1059</v>
      </c>
      <c r="AR426" s="951"/>
      <c r="AS426" s="951"/>
      <c r="AT426" s="951" t="s">
        <v>1060</v>
      </c>
      <c r="AU426" s="951"/>
      <c r="AV426" s="951"/>
      <c r="AW426" s="951"/>
      <c r="AX426" s="951"/>
      <c r="AY426" s="951"/>
      <c r="AZ426" s="951" t="s">
        <v>1061</v>
      </c>
      <c r="BA426" s="951"/>
      <c r="BB426" s="951"/>
      <c r="BC426" s="954" t="s">
        <v>1062</v>
      </c>
      <c r="BD426" s="954"/>
      <c r="BE426" s="954"/>
      <c r="BF426" s="954"/>
      <c r="BG426" s="954"/>
      <c r="BH426" s="954"/>
      <c r="BI426" s="954" t="s">
        <v>996</v>
      </c>
      <c r="BJ426" s="954"/>
      <c r="BK426" s="954"/>
      <c r="BL426" s="951" t="s">
        <v>997</v>
      </c>
      <c r="BM426" s="951"/>
      <c r="BN426" s="951"/>
      <c r="BO426" s="951"/>
      <c r="BP426" s="951"/>
      <c r="BQ426" s="951"/>
      <c r="BR426" s="951"/>
      <c r="BS426" s="951"/>
      <c r="BT426" s="955" t="s">
        <v>998</v>
      </c>
    </row>
    <row r="427" spans="1:72">
      <c r="A427" s="949"/>
      <c r="B427" s="949"/>
      <c r="C427" s="949"/>
      <c r="D427" s="949" t="s">
        <v>1063</v>
      </c>
      <c r="E427" s="949" t="s">
        <v>391</v>
      </c>
      <c r="F427" s="948" t="s">
        <v>999</v>
      </c>
      <c r="G427" s="948" t="s">
        <v>1000</v>
      </c>
      <c r="H427" s="948" t="s">
        <v>1001</v>
      </c>
      <c r="I427" s="948" t="s">
        <v>1002</v>
      </c>
      <c r="J427" s="948" t="s">
        <v>1003</v>
      </c>
      <c r="K427" s="951" t="s">
        <v>1064</v>
      </c>
      <c r="L427" s="948"/>
      <c r="M427" s="952"/>
      <c r="N427" s="949" t="s">
        <v>1001</v>
      </c>
      <c r="O427" s="949"/>
      <c r="P427" s="949" t="s">
        <v>1000</v>
      </c>
      <c r="Q427" s="949"/>
      <c r="R427" s="949" t="s">
        <v>1001</v>
      </c>
      <c r="S427" s="949"/>
      <c r="T427" s="950" t="s">
        <v>1007</v>
      </c>
      <c r="U427" s="949" t="s">
        <v>1005</v>
      </c>
      <c r="V427" s="949"/>
      <c r="W427" s="949"/>
      <c r="X427" s="949" t="s">
        <v>1000</v>
      </c>
      <c r="Y427" s="949" t="s">
        <v>1001</v>
      </c>
      <c r="Z427" s="949" t="s">
        <v>1001</v>
      </c>
      <c r="AA427" s="949"/>
      <c r="AB427" s="949" t="s">
        <v>1000</v>
      </c>
      <c r="AC427" s="949"/>
      <c r="AD427" s="949" t="s">
        <v>1001</v>
      </c>
      <c r="AE427" s="949"/>
      <c r="AF427" s="953" t="s">
        <v>1004</v>
      </c>
      <c r="AG427" s="953"/>
      <c r="AH427" s="953"/>
      <c r="AI427" s="953" t="s">
        <v>1065</v>
      </c>
      <c r="AJ427" s="953"/>
      <c r="AK427" s="951" t="s">
        <v>1001</v>
      </c>
      <c r="AL427" s="951"/>
      <c r="AM427" s="951" t="s">
        <v>1000</v>
      </c>
      <c r="AN427" s="951"/>
      <c r="AO427" s="951" t="s">
        <v>1001</v>
      </c>
      <c r="AP427" s="951"/>
      <c r="AQ427" s="951" t="s">
        <v>1004</v>
      </c>
      <c r="AR427" s="951" t="s">
        <v>1005</v>
      </c>
      <c r="AS427" s="951"/>
      <c r="AT427" s="951" t="s">
        <v>1066</v>
      </c>
      <c r="AU427" s="951"/>
      <c r="AV427" s="951" t="s">
        <v>1000</v>
      </c>
      <c r="AW427" s="951"/>
      <c r="AX427" s="951" t="s">
        <v>1001</v>
      </c>
      <c r="AY427" s="951"/>
      <c r="AZ427" s="951" t="s">
        <v>1004</v>
      </c>
      <c r="BA427" s="951" t="s">
        <v>1005</v>
      </c>
      <c r="BB427" s="951"/>
      <c r="BC427" s="953" t="s">
        <v>1001</v>
      </c>
      <c r="BD427" s="953"/>
      <c r="BE427" s="953" t="s">
        <v>1000</v>
      </c>
      <c r="BF427" s="953"/>
      <c r="BG427" s="951" t="s">
        <v>1001</v>
      </c>
      <c r="BH427" s="951"/>
      <c r="BI427" s="956" t="s">
        <v>1004</v>
      </c>
      <c r="BJ427" s="954" t="s">
        <v>1005</v>
      </c>
      <c r="BK427" s="954"/>
      <c r="BL427" s="951" t="s">
        <v>1006</v>
      </c>
      <c r="BM427" s="951"/>
      <c r="BN427" s="951"/>
      <c r="BO427" s="951"/>
      <c r="BP427" s="951"/>
      <c r="BQ427" s="951"/>
      <c r="BR427" s="951" t="s">
        <v>1067</v>
      </c>
      <c r="BS427" s="951"/>
      <c r="BT427" s="953" t="s">
        <v>1068</v>
      </c>
    </row>
    <row r="428" spans="1:72">
      <c r="A428" s="949"/>
      <c r="B428" s="949"/>
      <c r="C428" s="949" t="s">
        <v>391</v>
      </c>
      <c r="D428" s="949"/>
      <c r="E428" s="949"/>
      <c r="F428" s="948" t="s">
        <v>1069</v>
      </c>
      <c r="G428" s="948" t="s">
        <v>1069</v>
      </c>
      <c r="H428" s="948" t="s">
        <v>1069</v>
      </c>
      <c r="I428" s="948" t="s">
        <v>1069</v>
      </c>
      <c r="J428" s="948" t="s">
        <v>1069</v>
      </c>
      <c r="K428" s="951"/>
      <c r="L428" s="948" t="s">
        <v>1070</v>
      </c>
      <c r="M428" s="952"/>
      <c r="N428" s="949"/>
      <c r="O428" s="949"/>
      <c r="P428" s="949"/>
      <c r="Q428" s="949"/>
      <c r="R428" s="949"/>
      <c r="S428" s="949"/>
      <c r="T428" s="950" t="s">
        <v>1071</v>
      </c>
      <c r="U428" s="950" t="s">
        <v>1012</v>
      </c>
      <c r="V428" s="950" t="s">
        <v>494</v>
      </c>
      <c r="W428" s="949"/>
      <c r="X428" s="949"/>
      <c r="Y428" s="949"/>
      <c r="Z428" s="949"/>
      <c r="AA428" s="949"/>
      <c r="AB428" s="949"/>
      <c r="AC428" s="949"/>
      <c r="AD428" s="949"/>
      <c r="AE428" s="949"/>
      <c r="AF428" s="955" t="s">
        <v>1001</v>
      </c>
      <c r="AG428" s="955" t="s">
        <v>1000</v>
      </c>
      <c r="AH428" s="955" t="s">
        <v>1001</v>
      </c>
      <c r="AI428" s="955" t="s">
        <v>1012</v>
      </c>
      <c r="AJ428" s="955" t="s">
        <v>494</v>
      </c>
      <c r="AK428" s="951"/>
      <c r="AL428" s="951"/>
      <c r="AM428" s="951"/>
      <c r="AN428" s="951"/>
      <c r="AO428" s="951"/>
      <c r="AP428" s="951"/>
      <c r="AQ428" s="951"/>
      <c r="AR428" s="948" t="s">
        <v>1012</v>
      </c>
      <c r="AS428" s="948" t="s">
        <v>494</v>
      </c>
      <c r="AT428" s="951"/>
      <c r="AU428" s="951"/>
      <c r="AV428" s="951"/>
      <c r="AW428" s="951"/>
      <c r="AX428" s="951"/>
      <c r="AY428" s="951"/>
      <c r="AZ428" s="951"/>
      <c r="BA428" s="948" t="s">
        <v>1012</v>
      </c>
      <c r="BB428" s="948" t="s">
        <v>494</v>
      </c>
      <c r="BC428" s="953"/>
      <c r="BD428" s="953"/>
      <c r="BE428" s="953"/>
      <c r="BF428" s="953"/>
      <c r="BG428" s="951"/>
      <c r="BH428" s="951"/>
      <c r="BI428" s="957"/>
      <c r="BJ428" s="957" t="s">
        <v>1012</v>
      </c>
      <c r="BK428" s="957" t="s">
        <v>494</v>
      </c>
      <c r="BL428" s="951" t="s">
        <v>1001</v>
      </c>
      <c r="BM428" s="951"/>
      <c r="BN428" s="951" t="s">
        <v>1000</v>
      </c>
      <c r="BO428" s="951"/>
      <c r="BP428" s="951" t="s">
        <v>1001</v>
      </c>
      <c r="BQ428" s="951"/>
      <c r="BR428" s="951" t="s">
        <v>1004</v>
      </c>
      <c r="BS428" s="948"/>
      <c r="BT428" s="953"/>
    </row>
    <row r="429" spans="1:72">
      <c r="A429" s="949"/>
      <c r="B429" s="949"/>
      <c r="C429" s="949"/>
      <c r="D429" s="950" t="s">
        <v>1072</v>
      </c>
      <c r="E429" s="950" t="s">
        <v>1073</v>
      </c>
      <c r="F429" s="948" t="s">
        <v>1074</v>
      </c>
      <c r="G429" s="948" t="s">
        <v>1075</v>
      </c>
      <c r="H429" s="948" t="s">
        <v>1076</v>
      </c>
      <c r="I429" s="948" t="s">
        <v>1077</v>
      </c>
      <c r="J429" s="948" t="s">
        <v>1078</v>
      </c>
      <c r="K429" s="948" t="s">
        <v>1079</v>
      </c>
      <c r="L429" s="948" t="s">
        <v>1080</v>
      </c>
      <c r="M429" s="952"/>
      <c r="N429" s="949" t="s">
        <v>1081</v>
      </c>
      <c r="O429" s="949"/>
      <c r="P429" s="949"/>
      <c r="Q429" s="949"/>
      <c r="R429" s="949"/>
      <c r="S429" s="949"/>
      <c r="T429" s="950" t="s">
        <v>1082</v>
      </c>
      <c r="U429" s="949" t="s">
        <v>1081</v>
      </c>
      <c r="V429" s="949"/>
      <c r="W429" s="949" t="s">
        <v>1081</v>
      </c>
      <c r="X429" s="949"/>
      <c r="Y429" s="949"/>
      <c r="Z429" s="949" t="s">
        <v>1082</v>
      </c>
      <c r="AA429" s="949"/>
      <c r="AB429" s="949"/>
      <c r="AC429" s="949"/>
      <c r="AD429" s="949"/>
      <c r="AE429" s="949"/>
      <c r="AF429" s="953" t="s">
        <v>1082</v>
      </c>
      <c r="AG429" s="953"/>
      <c r="AH429" s="953"/>
      <c r="AI429" s="953"/>
      <c r="AJ429" s="953"/>
      <c r="AK429" s="951" t="s">
        <v>1069</v>
      </c>
      <c r="AL429" s="951"/>
      <c r="AM429" s="951"/>
      <c r="AN429" s="951"/>
      <c r="AO429" s="951"/>
      <c r="AP429" s="951"/>
      <c r="AQ429" s="951"/>
      <c r="AR429" s="951"/>
      <c r="AS429" s="951"/>
      <c r="AT429" s="951"/>
      <c r="AU429" s="951"/>
      <c r="AV429" s="951"/>
      <c r="AW429" s="951"/>
      <c r="AX429" s="951"/>
      <c r="AY429" s="951"/>
      <c r="AZ429" s="951"/>
      <c r="BA429" s="951"/>
      <c r="BB429" s="951"/>
      <c r="BC429" s="954"/>
      <c r="BD429" s="954"/>
      <c r="BE429" s="954"/>
      <c r="BF429" s="954"/>
      <c r="BG429" s="954"/>
      <c r="BH429" s="954"/>
      <c r="BI429" s="954"/>
      <c r="BJ429" s="954"/>
      <c r="BK429" s="954"/>
      <c r="BL429" s="951"/>
      <c r="BM429" s="951"/>
      <c r="BN429" s="951"/>
      <c r="BO429" s="951"/>
      <c r="BP429" s="951"/>
      <c r="BQ429" s="951"/>
      <c r="BR429" s="951"/>
      <c r="BS429" s="948" t="s">
        <v>494</v>
      </c>
      <c r="BT429" s="953"/>
    </row>
    <row r="430" spans="1:72">
      <c r="A430" s="952"/>
      <c r="B430" s="952"/>
      <c r="C430" s="950"/>
      <c r="D430" s="950"/>
      <c r="E430" s="950"/>
      <c r="F430" s="948"/>
      <c r="G430" s="948"/>
      <c r="H430" s="948"/>
      <c r="I430" s="948"/>
      <c r="J430" s="948"/>
      <c r="K430" s="948"/>
      <c r="L430" s="948"/>
      <c r="M430" s="952"/>
      <c r="N430" s="950"/>
      <c r="O430" s="950"/>
      <c r="P430" s="950"/>
      <c r="Q430" s="950"/>
      <c r="R430" s="950"/>
      <c r="S430" s="950"/>
      <c r="T430" s="950"/>
      <c r="U430" s="950"/>
      <c r="V430" s="950"/>
      <c r="W430" s="950"/>
      <c r="X430" s="950"/>
      <c r="Y430" s="950"/>
      <c r="Z430" s="950"/>
      <c r="AA430" s="950"/>
      <c r="AB430" s="950"/>
      <c r="AC430" s="950"/>
      <c r="AD430" s="950"/>
      <c r="AE430" s="950"/>
      <c r="AF430" s="955"/>
      <c r="AG430" s="955"/>
      <c r="AH430" s="955"/>
      <c r="AI430" s="955"/>
      <c r="AJ430" s="955"/>
      <c r="AK430" s="948"/>
      <c r="AL430" s="948"/>
      <c r="AM430" s="948"/>
      <c r="AN430" s="948"/>
      <c r="AO430" s="948"/>
      <c r="AP430" s="948"/>
      <c r="AQ430" s="948"/>
      <c r="AR430" s="948"/>
      <c r="AS430" s="948"/>
      <c r="AT430" s="948"/>
      <c r="AU430" s="948"/>
      <c r="AV430" s="948"/>
      <c r="AW430" s="948"/>
      <c r="AX430" s="948"/>
      <c r="AY430" s="948"/>
      <c r="AZ430" s="948"/>
      <c r="BA430" s="948"/>
      <c r="BB430" s="948"/>
      <c r="BC430" s="957"/>
      <c r="BD430" s="957"/>
      <c r="BE430" s="957"/>
      <c r="BF430" s="957"/>
      <c r="BG430" s="957"/>
      <c r="BH430" s="957"/>
      <c r="BI430" s="957"/>
      <c r="BJ430" s="957"/>
      <c r="BK430" s="957"/>
      <c r="BL430" s="948"/>
      <c r="BM430" s="948"/>
      <c r="BN430" s="948"/>
      <c r="BO430" s="948"/>
      <c r="BP430" s="948"/>
      <c r="BQ430" s="948"/>
      <c r="BR430" s="948"/>
      <c r="BS430" s="948"/>
      <c r="BT430" s="955"/>
    </row>
    <row r="431" spans="1:72">
      <c r="A431" s="958" t="s">
        <v>1203</v>
      </c>
      <c r="B431" s="952"/>
      <c r="C431" s="950"/>
      <c r="D431" s="950"/>
      <c r="E431" s="950"/>
      <c r="F431" s="948"/>
      <c r="G431" s="948"/>
      <c r="H431" s="948"/>
      <c r="I431" s="948"/>
      <c r="J431" s="948"/>
      <c r="K431" s="948"/>
      <c r="L431" s="948"/>
      <c r="M431" s="952"/>
      <c r="N431" s="958" t="str">
        <f>A431</f>
        <v>Balok Lantai 14</v>
      </c>
      <c r="O431" s="950"/>
      <c r="P431" s="950"/>
      <c r="Q431" s="950"/>
      <c r="R431" s="950"/>
      <c r="S431" s="950"/>
      <c r="T431" s="950"/>
      <c r="U431" s="950"/>
      <c r="V431" s="950"/>
      <c r="W431" s="950"/>
      <c r="X431" s="950"/>
      <c r="Y431" s="950"/>
      <c r="Z431" s="950"/>
      <c r="AA431" s="950"/>
      <c r="AB431" s="950"/>
      <c r="AC431" s="950"/>
      <c r="AD431" s="950"/>
      <c r="AE431" s="950"/>
      <c r="AF431" s="955"/>
      <c r="AG431" s="955"/>
      <c r="AH431" s="955"/>
      <c r="AI431" s="955"/>
      <c r="AJ431" s="955"/>
      <c r="AK431" s="948"/>
      <c r="AL431" s="948"/>
      <c r="AM431" s="948"/>
      <c r="AN431" s="948"/>
      <c r="AO431" s="948"/>
      <c r="AP431" s="948"/>
      <c r="AQ431" s="948"/>
      <c r="AR431" s="948"/>
      <c r="AS431" s="948"/>
      <c r="AT431" s="948"/>
      <c r="AU431" s="948"/>
      <c r="AV431" s="948"/>
      <c r="AW431" s="948"/>
      <c r="AX431" s="948"/>
      <c r="AY431" s="948"/>
      <c r="AZ431" s="948"/>
      <c r="BA431" s="948"/>
      <c r="BB431" s="948"/>
      <c r="BC431" s="957"/>
      <c r="BD431" s="957"/>
      <c r="BE431" s="957"/>
      <c r="BF431" s="957"/>
      <c r="BG431" s="957"/>
      <c r="BH431" s="957"/>
      <c r="BI431" s="957"/>
      <c r="BJ431" s="957"/>
      <c r="BK431" s="957"/>
      <c r="BL431" s="948"/>
      <c r="BM431" s="948"/>
      <c r="BN431" s="948"/>
      <c r="BO431" s="948"/>
      <c r="BP431" s="948"/>
      <c r="BQ431" s="948"/>
      <c r="BR431" s="948"/>
      <c r="BS431" s="948"/>
      <c r="BT431" s="955"/>
    </row>
    <row r="432" spans="1:72">
      <c r="A432" s="960" t="s">
        <v>2</v>
      </c>
      <c r="B432" s="960" t="s">
        <v>1084</v>
      </c>
      <c r="C432" s="950"/>
      <c r="D432" s="950"/>
      <c r="E432" s="950"/>
      <c r="F432" s="948"/>
      <c r="G432" s="948"/>
      <c r="H432" s="948"/>
      <c r="I432" s="948"/>
      <c r="J432" s="948"/>
      <c r="K432" s="948"/>
      <c r="L432" s="948"/>
      <c r="M432" s="952"/>
      <c r="N432" s="959" t="str">
        <f>A432</f>
        <v>A</v>
      </c>
      <c r="O432" s="959" t="str">
        <f>B432</f>
        <v>Vertikal</v>
      </c>
      <c r="P432" s="950"/>
      <c r="Q432" s="950"/>
      <c r="R432" s="950"/>
      <c r="S432" s="950"/>
      <c r="T432" s="950"/>
      <c r="U432" s="950"/>
      <c r="V432" s="950"/>
      <c r="W432" s="950"/>
      <c r="X432" s="950"/>
      <c r="Y432" s="950"/>
      <c r="Z432" s="950"/>
      <c r="AA432" s="950"/>
      <c r="AB432" s="950"/>
      <c r="AC432" s="950"/>
      <c r="AD432" s="950"/>
      <c r="AE432" s="950"/>
      <c r="AF432" s="955"/>
      <c r="AG432" s="955"/>
      <c r="AH432" s="955"/>
      <c r="AI432" s="955"/>
      <c r="AJ432" s="955"/>
      <c r="AK432" s="948"/>
      <c r="AL432" s="948"/>
      <c r="AM432" s="948"/>
      <c r="AN432" s="948"/>
      <c r="AO432" s="948"/>
      <c r="AP432" s="948"/>
      <c r="AQ432" s="948"/>
      <c r="AR432" s="948"/>
      <c r="AS432" s="948"/>
      <c r="AT432" s="948"/>
      <c r="AU432" s="948"/>
      <c r="AV432" s="948"/>
      <c r="AW432" s="948"/>
      <c r="AX432" s="948"/>
      <c r="AY432" s="948"/>
      <c r="AZ432" s="948"/>
      <c r="BA432" s="948"/>
      <c r="BB432" s="948"/>
      <c r="BC432" s="957"/>
      <c r="BD432" s="957"/>
      <c r="BE432" s="957"/>
      <c r="BF432" s="957"/>
      <c r="BG432" s="957"/>
      <c r="BH432" s="957"/>
      <c r="BI432" s="957"/>
      <c r="BJ432" s="957"/>
      <c r="BK432" s="957"/>
      <c r="BL432" s="948"/>
      <c r="BM432" s="948"/>
      <c r="BN432" s="948"/>
      <c r="BO432" s="948"/>
      <c r="BP432" s="948"/>
      <c r="BQ432" s="948"/>
      <c r="BR432" s="948"/>
      <c r="BS432" s="948"/>
      <c r="BT432" s="955"/>
    </row>
    <row r="433" spans="1:72">
      <c r="A433" s="952">
        <v>1</v>
      </c>
      <c r="B433" s="952" t="s">
        <v>1161</v>
      </c>
      <c r="C433" s="950" t="s">
        <v>1185</v>
      </c>
      <c r="D433" s="950">
        <v>1</v>
      </c>
      <c r="E433" s="950">
        <v>1</v>
      </c>
      <c r="F433" s="948">
        <v>64</v>
      </c>
      <c r="G433" s="948">
        <v>0.3</v>
      </c>
      <c r="H433" s="948">
        <v>0.65</v>
      </c>
      <c r="I433" s="948">
        <v>0.12</v>
      </c>
      <c r="J433" s="948">
        <f t="shared" ref="J433" si="1066">H433-I433</f>
        <v>0.53</v>
      </c>
      <c r="K433" s="948">
        <f>F433*G433*J433*D433*E433</f>
        <v>10.176</v>
      </c>
      <c r="L433" s="948">
        <f>(2*J433)*F433*E433*D433</f>
        <v>67.84</v>
      </c>
      <c r="M433" s="952"/>
      <c r="N433" s="950">
        <v>19</v>
      </c>
      <c r="O433" s="950">
        <v>19</v>
      </c>
      <c r="P433" s="950">
        <v>19</v>
      </c>
      <c r="Q433" s="950">
        <v>19</v>
      </c>
      <c r="R433" s="950">
        <v>19</v>
      </c>
      <c r="S433" s="950">
        <v>19</v>
      </c>
      <c r="T433" s="950">
        <v>8</v>
      </c>
      <c r="U433" s="950"/>
      <c r="V433" s="950"/>
      <c r="W433" s="950">
        <v>200</v>
      </c>
      <c r="X433" s="950">
        <v>100</v>
      </c>
      <c r="Y433" s="950">
        <v>100</v>
      </c>
      <c r="Z433" s="950">
        <v>4</v>
      </c>
      <c r="AA433" s="950">
        <v>4</v>
      </c>
      <c r="AB433" s="950">
        <v>2</v>
      </c>
      <c r="AC433" s="950">
        <v>2</v>
      </c>
      <c r="AD433" s="950">
        <v>4</v>
      </c>
      <c r="AE433" s="950">
        <v>4</v>
      </c>
      <c r="AF433" s="955">
        <f t="shared" ref="AF433:AF437" si="1067">(F433/4)/(W433/1000)+1</f>
        <v>81</v>
      </c>
      <c r="AG433" s="955">
        <f t="shared" ref="AG433:AG437" si="1068">(F433/2)/(X433/1000)+1</f>
        <v>321</v>
      </c>
      <c r="AH433" s="955">
        <f t="shared" ref="AH433:AH437" si="1069">(F433/4)/(Y433/1000)+1</f>
        <v>161</v>
      </c>
      <c r="AI433" s="955">
        <v>0</v>
      </c>
      <c r="AJ433" s="955">
        <v>0</v>
      </c>
      <c r="AK433" s="948">
        <f t="shared" ref="AK433:AK437" si="1070">(F433/4)+(20*N433/1000)+(10*N433/1000)+(8*N433/1000)+(6*2*N433/1000)</f>
        <v>16.950000000000003</v>
      </c>
      <c r="AL433" s="948">
        <f t="shared" ref="AL433:AL437" si="1071">(F433/4)+(20*O433/1000)+(10*O433/1000)+(8*O433/1000)+(6*2*O433/1000)</f>
        <v>16.950000000000003</v>
      </c>
      <c r="AM433" s="948">
        <f t="shared" ref="AM433:AM437" si="1072">(F433/2)+(20*P433/1000)+(6*2*P433/1000)</f>
        <v>32.608000000000004</v>
      </c>
      <c r="AN433" s="948">
        <f t="shared" ref="AN433:AN437" si="1073">(F433/2)+(20*Q433/1000)+(6*2*Q433/1000)</f>
        <v>32.608000000000004</v>
      </c>
      <c r="AO433" s="948">
        <f t="shared" ref="AO433:AO437" si="1074">(F433/4)+(20*R433/1000)+(10*R433/1000)+(8*R433/1000)+(6*2*R433/1000)</f>
        <v>16.950000000000003</v>
      </c>
      <c r="AP433" s="948">
        <f t="shared" ref="AP433:AP437" si="1075">(F433/4)+(20*S433/1000)+(10*S433/1000)+(8*S433/1000)+(6*2*S433/1000)</f>
        <v>16.950000000000003</v>
      </c>
      <c r="AQ433" s="948">
        <f t="shared" ref="AQ433:AQ437" si="1076">(2*G433)+(2*H433)+(6*T433/1000)-(8*0.03)</f>
        <v>1.708</v>
      </c>
      <c r="AR433" s="948">
        <f t="shared" ref="AR433:AR437" si="1077">((H433)+(2*6*U433/1000)-(2*0.03))*AI433</f>
        <v>0</v>
      </c>
      <c r="AS433" s="948">
        <f t="shared" ref="AS433:AS437" si="1078">((G433)+(2*6*V433/1000)-(2*0.03))*AJ433</f>
        <v>0</v>
      </c>
      <c r="AT433" s="948">
        <f t="shared" ref="AT433:AT437" si="1079">AK433*Z433*E433*D433</f>
        <v>67.800000000000011</v>
      </c>
      <c r="AU433" s="948">
        <f t="shared" ref="AU433:AU437" si="1080">AL433*AA433*E433*D433</f>
        <v>67.800000000000011</v>
      </c>
      <c r="AV433" s="948">
        <f t="shared" ref="AV433:AV437" si="1081">AM433*AB433*E433*D433</f>
        <v>65.216000000000008</v>
      </c>
      <c r="AW433" s="948">
        <f t="shared" ref="AW433:AW437" si="1082">AN433*AC433*E433*D433</f>
        <v>65.216000000000008</v>
      </c>
      <c r="AX433" s="948">
        <f t="shared" ref="AX433:AX437" si="1083">AO433*AD433*E433*D433</f>
        <v>67.800000000000011</v>
      </c>
      <c r="AY433" s="948">
        <f t="shared" ref="AY433:AY437" si="1084">AP433*AE433*E433*D433</f>
        <v>67.800000000000011</v>
      </c>
      <c r="AZ433" s="948">
        <f t="shared" ref="AZ433:AZ437" si="1085">AQ433*(AF433+AG433+AH433)*E433*D433</f>
        <v>961.60399999999993</v>
      </c>
      <c r="BA433" s="948">
        <f t="shared" ref="BA433:BA437" si="1086">AR433*(AF433+AG433+AH433)*E433*D433</f>
        <v>0</v>
      </c>
      <c r="BB433" s="948">
        <f t="shared" ref="BB433:BB437" si="1087">AS433*(AF433+AG433+AH433)*E433*D433</f>
        <v>0</v>
      </c>
      <c r="BC433" s="957">
        <f t="shared" ref="BC433:BK437" si="1088">N433*N433*0.074/12</f>
        <v>2.2261666666666664</v>
      </c>
      <c r="BD433" s="957">
        <f t="shared" si="1088"/>
        <v>2.2261666666666664</v>
      </c>
      <c r="BE433" s="957">
        <f t="shared" si="1088"/>
        <v>2.2261666666666664</v>
      </c>
      <c r="BF433" s="957">
        <f t="shared" si="1088"/>
        <v>2.2261666666666664</v>
      </c>
      <c r="BG433" s="957">
        <f t="shared" si="1088"/>
        <v>2.2261666666666664</v>
      </c>
      <c r="BH433" s="957">
        <f t="shared" si="1088"/>
        <v>2.2261666666666664</v>
      </c>
      <c r="BI433" s="957">
        <f t="shared" si="1088"/>
        <v>0.39466666666666667</v>
      </c>
      <c r="BJ433" s="957">
        <f t="shared" si="1088"/>
        <v>0</v>
      </c>
      <c r="BK433" s="957">
        <f t="shared" si="1088"/>
        <v>0</v>
      </c>
      <c r="BL433" s="948">
        <f t="shared" ref="BL433:BR437" si="1089">AT433*BC433</f>
        <v>150.9341</v>
      </c>
      <c r="BM433" s="948">
        <f t="shared" si="1089"/>
        <v>150.9341</v>
      </c>
      <c r="BN433" s="948">
        <f t="shared" si="1089"/>
        <v>145.18168533333335</v>
      </c>
      <c r="BO433" s="948">
        <f t="shared" si="1089"/>
        <v>145.18168533333335</v>
      </c>
      <c r="BP433" s="948">
        <f t="shared" si="1089"/>
        <v>150.9341</v>
      </c>
      <c r="BQ433" s="948">
        <f t="shared" si="1089"/>
        <v>150.9341</v>
      </c>
      <c r="BR433" s="948">
        <f t="shared" si="1089"/>
        <v>379.51304533333331</v>
      </c>
      <c r="BS433" s="948">
        <f>BB433*BK433</f>
        <v>0</v>
      </c>
      <c r="BT433" s="955">
        <f>SUM(BL433:BS433)/K433</f>
        <v>125.15849213836478</v>
      </c>
    </row>
    <row r="434" spans="1:72">
      <c r="A434" s="952">
        <v>2</v>
      </c>
      <c r="B434" s="952" t="s">
        <v>1162</v>
      </c>
      <c r="C434" s="950" t="s">
        <v>1163</v>
      </c>
      <c r="D434" s="950">
        <v>1</v>
      </c>
      <c r="E434" s="950">
        <v>1</v>
      </c>
      <c r="F434" s="948">
        <v>64</v>
      </c>
      <c r="G434" s="948">
        <v>0.25</v>
      </c>
      <c r="H434" s="948">
        <v>0.6</v>
      </c>
      <c r="I434" s="948">
        <v>0.12</v>
      </c>
      <c r="J434" s="948">
        <f>H434-I434</f>
        <v>0.48</v>
      </c>
      <c r="K434" s="948">
        <f>F434*G434*J434*D434*E434</f>
        <v>7.68</v>
      </c>
      <c r="L434" s="948">
        <f>(2*J434)*F434*E434*D434</f>
        <v>61.44</v>
      </c>
      <c r="M434" s="952"/>
      <c r="N434" s="950">
        <v>16</v>
      </c>
      <c r="O434" s="950">
        <v>16</v>
      </c>
      <c r="P434" s="950">
        <v>16</v>
      </c>
      <c r="Q434" s="950">
        <v>16</v>
      </c>
      <c r="R434" s="950">
        <v>16</v>
      </c>
      <c r="S434" s="950">
        <v>16</v>
      </c>
      <c r="T434" s="950">
        <v>8</v>
      </c>
      <c r="U434" s="950"/>
      <c r="V434" s="950"/>
      <c r="W434" s="950">
        <v>200</v>
      </c>
      <c r="X434" s="950">
        <v>100</v>
      </c>
      <c r="Y434" s="950">
        <v>100</v>
      </c>
      <c r="Z434" s="950">
        <v>4</v>
      </c>
      <c r="AA434" s="950">
        <v>4</v>
      </c>
      <c r="AB434" s="950">
        <v>2</v>
      </c>
      <c r="AC434" s="950">
        <v>2</v>
      </c>
      <c r="AD434" s="950">
        <v>4</v>
      </c>
      <c r="AE434" s="950">
        <v>4</v>
      </c>
      <c r="AF434" s="955">
        <f t="shared" si="1067"/>
        <v>81</v>
      </c>
      <c r="AG434" s="955">
        <f t="shared" si="1068"/>
        <v>321</v>
      </c>
      <c r="AH434" s="955">
        <f t="shared" si="1069"/>
        <v>161</v>
      </c>
      <c r="AI434" s="955">
        <v>0</v>
      </c>
      <c r="AJ434" s="955">
        <v>0</v>
      </c>
      <c r="AK434" s="948">
        <f t="shared" si="1070"/>
        <v>16.8</v>
      </c>
      <c r="AL434" s="948">
        <f t="shared" si="1071"/>
        <v>16.8</v>
      </c>
      <c r="AM434" s="948">
        <f t="shared" si="1072"/>
        <v>32.512</v>
      </c>
      <c r="AN434" s="948">
        <f t="shared" si="1073"/>
        <v>32.512</v>
      </c>
      <c r="AO434" s="948">
        <f t="shared" si="1074"/>
        <v>16.8</v>
      </c>
      <c r="AP434" s="948">
        <f t="shared" si="1075"/>
        <v>16.8</v>
      </c>
      <c r="AQ434" s="948">
        <f t="shared" si="1076"/>
        <v>1.508</v>
      </c>
      <c r="AR434" s="948">
        <f t="shared" si="1077"/>
        <v>0</v>
      </c>
      <c r="AS434" s="948">
        <f t="shared" si="1078"/>
        <v>0</v>
      </c>
      <c r="AT434" s="948">
        <f t="shared" si="1079"/>
        <v>67.2</v>
      </c>
      <c r="AU434" s="948">
        <f t="shared" si="1080"/>
        <v>67.2</v>
      </c>
      <c r="AV434" s="948">
        <f t="shared" si="1081"/>
        <v>65.024000000000001</v>
      </c>
      <c r="AW434" s="948">
        <f t="shared" si="1082"/>
        <v>65.024000000000001</v>
      </c>
      <c r="AX434" s="948">
        <f t="shared" si="1083"/>
        <v>67.2</v>
      </c>
      <c r="AY434" s="948">
        <f t="shared" si="1084"/>
        <v>67.2</v>
      </c>
      <c r="AZ434" s="948">
        <f t="shared" si="1085"/>
        <v>849.00400000000002</v>
      </c>
      <c r="BA434" s="948">
        <f t="shared" si="1086"/>
        <v>0</v>
      </c>
      <c r="BB434" s="948">
        <f t="shared" si="1087"/>
        <v>0</v>
      </c>
      <c r="BC434" s="957">
        <f t="shared" si="1088"/>
        <v>1.5786666666666667</v>
      </c>
      <c r="BD434" s="957">
        <f t="shared" si="1088"/>
        <v>1.5786666666666667</v>
      </c>
      <c r="BE434" s="957">
        <f t="shared" si="1088"/>
        <v>1.5786666666666667</v>
      </c>
      <c r="BF434" s="957">
        <f t="shared" si="1088"/>
        <v>1.5786666666666667</v>
      </c>
      <c r="BG434" s="957">
        <f t="shared" si="1088"/>
        <v>1.5786666666666667</v>
      </c>
      <c r="BH434" s="957">
        <f t="shared" si="1088"/>
        <v>1.5786666666666667</v>
      </c>
      <c r="BI434" s="957">
        <f t="shared" si="1088"/>
        <v>0.39466666666666667</v>
      </c>
      <c r="BJ434" s="957">
        <f t="shared" si="1088"/>
        <v>0</v>
      </c>
      <c r="BK434" s="957">
        <f t="shared" si="1088"/>
        <v>0</v>
      </c>
      <c r="BL434" s="948">
        <f t="shared" si="1089"/>
        <v>106.0864</v>
      </c>
      <c r="BM434" s="948">
        <f t="shared" si="1089"/>
        <v>106.0864</v>
      </c>
      <c r="BN434" s="948">
        <f t="shared" si="1089"/>
        <v>102.65122133333334</v>
      </c>
      <c r="BO434" s="948">
        <f t="shared" si="1089"/>
        <v>102.65122133333334</v>
      </c>
      <c r="BP434" s="948">
        <f t="shared" si="1089"/>
        <v>106.0864</v>
      </c>
      <c r="BQ434" s="948">
        <f t="shared" si="1089"/>
        <v>106.0864</v>
      </c>
      <c r="BR434" s="948">
        <f t="shared" si="1089"/>
        <v>335.07357866666666</v>
      </c>
      <c r="BS434" s="948">
        <f>BB434*BK434</f>
        <v>0</v>
      </c>
      <c r="BT434" s="955">
        <f>SUM(BL434:BS434)/K434</f>
        <v>125.61479444444446</v>
      </c>
    </row>
    <row r="435" spans="1:72">
      <c r="A435" s="952">
        <v>3</v>
      </c>
      <c r="B435" s="952" t="s">
        <v>1092</v>
      </c>
      <c r="C435" s="950" t="s">
        <v>1093</v>
      </c>
      <c r="D435" s="950">
        <v>1</v>
      </c>
      <c r="E435" s="950">
        <v>1</v>
      </c>
      <c r="F435" s="948">
        <v>80</v>
      </c>
      <c r="G435" s="948">
        <v>0.25</v>
      </c>
      <c r="H435" s="948">
        <v>0.6</v>
      </c>
      <c r="I435" s="948">
        <v>0.12</v>
      </c>
      <c r="J435" s="948">
        <f>H435-I435</f>
        <v>0.48</v>
      </c>
      <c r="K435" s="948">
        <f>F435*G435*J435*D435*E435</f>
        <v>9.6</v>
      </c>
      <c r="L435" s="948">
        <f>(2*J435)*F435*E435*D435</f>
        <v>76.8</v>
      </c>
      <c r="M435" s="952"/>
      <c r="N435" s="950">
        <v>16</v>
      </c>
      <c r="O435" s="950">
        <v>16</v>
      </c>
      <c r="P435" s="950">
        <v>16</v>
      </c>
      <c r="Q435" s="950">
        <v>16</v>
      </c>
      <c r="R435" s="950">
        <v>16</v>
      </c>
      <c r="S435" s="950">
        <v>16</v>
      </c>
      <c r="T435" s="950">
        <v>8</v>
      </c>
      <c r="U435" s="950"/>
      <c r="V435" s="950"/>
      <c r="W435" s="950">
        <v>200</v>
      </c>
      <c r="X435" s="950">
        <v>100</v>
      </c>
      <c r="Y435" s="950">
        <v>100</v>
      </c>
      <c r="Z435" s="950">
        <v>9</v>
      </c>
      <c r="AA435" s="950">
        <v>6</v>
      </c>
      <c r="AB435" s="950">
        <v>4</v>
      </c>
      <c r="AC435" s="950">
        <v>4</v>
      </c>
      <c r="AD435" s="950">
        <v>9</v>
      </c>
      <c r="AE435" s="950">
        <v>6</v>
      </c>
      <c r="AF435" s="955">
        <f t="shared" si="1067"/>
        <v>101</v>
      </c>
      <c r="AG435" s="955">
        <f t="shared" si="1068"/>
        <v>401</v>
      </c>
      <c r="AH435" s="955">
        <f t="shared" si="1069"/>
        <v>201</v>
      </c>
      <c r="AI435" s="955">
        <v>0</v>
      </c>
      <c r="AJ435" s="955">
        <v>0</v>
      </c>
      <c r="AK435" s="948">
        <f t="shared" si="1070"/>
        <v>20.8</v>
      </c>
      <c r="AL435" s="948">
        <f t="shared" si="1071"/>
        <v>20.8</v>
      </c>
      <c r="AM435" s="948">
        <f t="shared" si="1072"/>
        <v>40.512</v>
      </c>
      <c r="AN435" s="948">
        <f t="shared" si="1073"/>
        <v>40.512</v>
      </c>
      <c r="AO435" s="948">
        <f t="shared" si="1074"/>
        <v>20.8</v>
      </c>
      <c r="AP435" s="948">
        <f t="shared" si="1075"/>
        <v>20.8</v>
      </c>
      <c r="AQ435" s="948">
        <f t="shared" si="1076"/>
        <v>1.508</v>
      </c>
      <c r="AR435" s="948">
        <f t="shared" si="1077"/>
        <v>0</v>
      </c>
      <c r="AS435" s="948">
        <f t="shared" si="1078"/>
        <v>0</v>
      </c>
      <c r="AT435" s="948">
        <f t="shared" si="1079"/>
        <v>187.20000000000002</v>
      </c>
      <c r="AU435" s="948">
        <f t="shared" si="1080"/>
        <v>124.80000000000001</v>
      </c>
      <c r="AV435" s="948">
        <f t="shared" si="1081"/>
        <v>162.048</v>
      </c>
      <c r="AW435" s="948">
        <f t="shared" si="1082"/>
        <v>162.048</v>
      </c>
      <c r="AX435" s="948">
        <f t="shared" si="1083"/>
        <v>187.20000000000002</v>
      </c>
      <c r="AY435" s="948">
        <f t="shared" si="1084"/>
        <v>124.80000000000001</v>
      </c>
      <c r="AZ435" s="948">
        <f t="shared" si="1085"/>
        <v>1060.124</v>
      </c>
      <c r="BA435" s="948">
        <f t="shared" si="1086"/>
        <v>0</v>
      </c>
      <c r="BB435" s="948">
        <f t="shared" si="1087"/>
        <v>0</v>
      </c>
      <c r="BC435" s="957">
        <f t="shared" si="1088"/>
        <v>1.5786666666666667</v>
      </c>
      <c r="BD435" s="957">
        <f t="shared" si="1088"/>
        <v>1.5786666666666667</v>
      </c>
      <c r="BE435" s="957">
        <f t="shared" si="1088"/>
        <v>1.5786666666666667</v>
      </c>
      <c r="BF435" s="957">
        <f t="shared" si="1088"/>
        <v>1.5786666666666667</v>
      </c>
      <c r="BG435" s="957">
        <f t="shared" si="1088"/>
        <v>1.5786666666666667</v>
      </c>
      <c r="BH435" s="957">
        <f t="shared" si="1088"/>
        <v>1.5786666666666667</v>
      </c>
      <c r="BI435" s="957">
        <f t="shared" si="1088"/>
        <v>0.39466666666666667</v>
      </c>
      <c r="BJ435" s="957">
        <f t="shared" si="1088"/>
        <v>0</v>
      </c>
      <c r="BK435" s="957">
        <f t="shared" si="1088"/>
        <v>0</v>
      </c>
      <c r="BL435" s="948">
        <f t="shared" si="1089"/>
        <v>295.52640000000002</v>
      </c>
      <c r="BM435" s="948">
        <f t="shared" si="1089"/>
        <v>197.01760000000002</v>
      </c>
      <c r="BN435" s="948">
        <f t="shared" si="1089"/>
        <v>255.81977599999999</v>
      </c>
      <c r="BO435" s="948">
        <f t="shared" si="1089"/>
        <v>255.81977599999999</v>
      </c>
      <c r="BP435" s="948">
        <f t="shared" si="1089"/>
        <v>295.52640000000002</v>
      </c>
      <c r="BQ435" s="948">
        <f t="shared" si="1089"/>
        <v>197.01760000000002</v>
      </c>
      <c r="BR435" s="948">
        <f t="shared" si="1089"/>
        <v>418.39560533333332</v>
      </c>
      <c r="BS435" s="948">
        <f>BB435*BK435</f>
        <v>0</v>
      </c>
      <c r="BT435" s="955">
        <f>SUM(BL435:BS435)/K435</f>
        <v>199.49199555555555</v>
      </c>
    </row>
    <row r="436" spans="1:72">
      <c r="A436" s="952">
        <v>4</v>
      </c>
      <c r="B436" s="952" t="s">
        <v>1164</v>
      </c>
      <c r="C436" s="950" t="s">
        <v>1165</v>
      </c>
      <c r="D436" s="950">
        <v>1</v>
      </c>
      <c r="E436" s="950">
        <v>1</v>
      </c>
      <c r="F436" s="948">
        <v>80</v>
      </c>
      <c r="G436" s="948">
        <v>0.3</v>
      </c>
      <c r="H436" s="948">
        <v>0.65</v>
      </c>
      <c r="I436" s="948">
        <v>0.12</v>
      </c>
      <c r="J436" s="948">
        <f>H436-I436</f>
        <v>0.53</v>
      </c>
      <c r="K436" s="948">
        <f>F436*G436*J436*D436*E436</f>
        <v>12.72</v>
      </c>
      <c r="L436" s="948">
        <f>(2*J436)*F436*E436*D436</f>
        <v>84.800000000000011</v>
      </c>
      <c r="M436" s="952"/>
      <c r="N436" s="950">
        <v>16</v>
      </c>
      <c r="O436" s="950">
        <v>16</v>
      </c>
      <c r="P436" s="950">
        <v>16</v>
      </c>
      <c r="Q436" s="950">
        <v>16</v>
      </c>
      <c r="R436" s="950">
        <v>16</v>
      </c>
      <c r="S436" s="950">
        <v>16</v>
      </c>
      <c r="T436" s="950">
        <v>8</v>
      </c>
      <c r="U436" s="950"/>
      <c r="V436" s="950"/>
      <c r="W436" s="950">
        <v>200</v>
      </c>
      <c r="X436" s="950">
        <v>100</v>
      </c>
      <c r="Y436" s="950">
        <v>100</v>
      </c>
      <c r="Z436" s="950">
        <v>4</v>
      </c>
      <c r="AA436" s="950">
        <v>4</v>
      </c>
      <c r="AB436" s="950">
        <v>2</v>
      </c>
      <c r="AC436" s="950">
        <v>2</v>
      </c>
      <c r="AD436" s="950">
        <v>4</v>
      </c>
      <c r="AE436" s="950">
        <v>4</v>
      </c>
      <c r="AF436" s="955">
        <f t="shared" si="1067"/>
        <v>101</v>
      </c>
      <c r="AG436" s="955">
        <f t="shared" si="1068"/>
        <v>401</v>
      </c>
      <c r="AH436" s="955">
        <f t="shared" si="1069"/>
        <v>201</v>
      </c>
      <c r="AI436" s="955">
        <v>0</v>
      </c>
      <c r="AJ436" s="955">
        <v>0</v>
      </c>
      <c r="AK436" s="948">
        <f t="shared" si="1070"/>
        <v>20.8</v>
      </c>
      <c r="AL436" s="948">
        <f t="shared" si="1071"/>
        <v>20.8</v>
      </c>
      <c r="AM436" s="948">
        <f t="shared" si="1072"/>
        <v>40.512</v>
      </c>
      <c r="AN436" s="948">
        <f t="shared" si="1073"/>
        <v>40.512</v>
      </c>
      <c r="AO436" s="948">
        <f t="shared" si="1074"/>
        <v>20.8</v>
      </c>
      <c r="AP436" s="948">
        <f t="shared" si="1075"/>
        <v>20.8</v>
      </c>
      <c r="AQ436" s="948">
        <f t="shared" si="1076"/>
        <v>1.708</v>
      </c>
      <c r="AR436" s="948">
        <f t="shared" si="1077"/>
        <v>0</v>
      </c>
      <c r="AS436" s="948">
        <f t="shared" si="1078"/>
        <v>0</v>
      </c>
      <c r="AT436" s="948">
        <f t="shared" si="1079"/>
        <v>83.2</v>
      </c>
      <c r="AU436" s="948">
        <f t="shared" si="1080"/>
        <v>83.2</v>
      </c>
      <c r="AV436" s="948">
        <f t="shared" si="1081"/>
        <v>81.024000000000001</v>
      </c>
      <c r="AW436" s="948">
        <f t="shared" si="1082"/>
        <v>81.024000000000001</v>
      </c>
      <c r="AX436" s="948">
        <f t="shared" si="1083"/>
        <v>83.2</v>
      </c>
      <c r="AY436" s="948">
        <f t="shared" si="1084"/>
        <v>83.2</v>
      </c>
      <c r="AZ436" s="948">
        <f t="shared" si="1085"/>
        <v>1200.7239999999999</v>
      </c>
      <c r="BA436" s="948">
        <f t="shared" si="1086"/>
        <v>0</v>
      </c>
      <c r="BB436" s="948">
        <f t="shared" si="1087"/>
        <v>0</v>
      </c>
      <c r="BC436" s="957">
        <f t="shared" si="1088"/>
        <v>1.5786666666666667</v>
      </c>
      <c r="BD436" s="957">
        <f t="shared" si="1088"/>
        <v>1.5786666666666667</v>
      </c>
      <c r="BE436" s="957">
        <f t="shared" si="1088"/>
        <v>1.5786666666666667</v>
      </c>
      <c r="BF436" s="957">
        <f t="shared" si="1088"/>
        <v>1.5786666666666667</v>
      </c>
      <c r="BG436" s="957">
        <f t="shared" si="1088"/>
        <v>1.5786666666666667</v>
      </c>
      <c r="BH436" s="957">
        <f t="shared" si="1088"/>
        <v>1.5786666666666667</v>
      </c>
      <c r="BI436" s="957">
        <f t="shared" si="1088"/>
        <v>0.39466666666666667</v>
      </c>
      <c r="BJ436" s="957">
        <f t="shared" si="1088"/>
        <v>0</v>
      </c>
      <c r="BK436" s="957">
        <f t="shared" si="1088"/>
        <v>0</v>
      </c>
      <c r="BL436" s="948">
        <f t="shared" si="1089"/>
        <v>131.34506666666667</v>
      </c>
      <c r="BM436" s="948">
        <f t="shared" si="1089"/>
        <v>131.34506666666667</v>
      </c>
      <c r="BN436" s="948">
        <f t="shared" si="1089"/>
        <v>127.909888</v>
      </c>
      <c r="BO436" s="948">
        <f t="shared" si="1089"/>
        <v>127.909888</v>
      </c>
      <c r="BP436" s="948">
        <f t="shared" si="1089"/>
        <v>131.34506666666667</v>
      </c>
      <c r="BQ436" s="948">
        <f t="shared" si="1089"/>
        <v>131.34506666666667</v>
      </c>
      <c r="BR436" s="948">
        <f t="shared" si="1089"/>
        <v>473.88573866666661</v>
      </c>
      <c r="BS436" s="948">
        <f>BB436*BK436</f>
        <v>0</v>
      </c>
      <c r="BT436" s="955">
        <f>SUM(BL436:BS436)/K436</f>
        <v>98.670265828092226</v>
      </c>
    </row>
    <row r="437" spans="1:72">
      <c r="A437" s="952">
        <v>5</v>
      </c>
      <c r="B437" s="952" t="s">
        <v>1166</v>
      </c>
      <c r="C437" s="950" t="s">
        <v>1103</v>
      </c>
      <c r="D437" s="950">
        <v>1</v>
      </c>
      <c r="E437" s="950">
        <v>1</v>
      </c>
      <c r="F437" s="948">
        <v>10</v>
      </c>
      <c r="G437" s="948">
        <v>0.25</v>
      </c>
      <c r="H437" s="948">
        <v>0.6</v>
      </c>
      <c r="I437" s="948">
        <v>0.12</v>
      </c>
      <c r="J437" s="948">
        <f t="shared" ref="J437" si="1090">H437-I437</f>
        <v>0.48</v>
      </c>
      <c r="K437" s="948">
        <f t="shared" ref="K437" si="1091">F437*G437*J437*D437*E437</f>
        <v>1.2</v>
      </c>
      <c r="L437" s="948">
        <f t="shared" ref="L437" si="1092">(2*J437)*F437*E437*D437+(D437*E437*F437*G437)</f>
        <v>12.1</v>
      </c>
      <c r="M437" s="952"/>
      <c r="N437" s="950">
        <v>16</v>
      </c>
      <c r="O437" s="950">
        <v>16</v>
      </c>
      <c r="P437" s="950">
        <v>16</v>
      </c>
      <c r="Q437" s="950">
        <v>16</v>
      </c>
      <c r="R437" s="950">
        <v>16</v>
      </c>
      <c r="S437" s="950">
        <v>16</v>
      </c>
      <c r="T437" s="950">
        <v>8</v>
      </c>
      <c r="U437" s="950"/>
      <c r="V437" s="950"/>
      <c r="W437" s="950">
        <v>200</v>
      </c>
      <c r="X437" s="950">
        <v>100</v>
      </c>
      <c r="Y437" s="950">
        <v>100</v>
      </c>
      <c r="Z437" s="950">
        <v>4</v>
      </c>
      <c r="AA437" s="950">
        <v>4</v>
      </c>
      <c r="AB437" s="950">
        <v>2</v>
      </c>
      <c r="AC437" s="950">
        <v>2</v>
      </c>
      <c r="AD437" s="950">
        <v>4</v>
      </c>
      <c r="AE437" s="950">
        <v>4</v>
      </c>
      <c r="AF437" s="955">
        <f t="shared" si="1067"/>
        <v>13.5</v>
      </c>
      <c r="AG437" s="955">
        <f t="shared" si="1068"/>
        <v>51</v>
      </c>
      <c r="AH437" s="955">
        <f t="shared" si="1069"/>
        <v>26</v>
      </c>
      <c r="AI437" s="955">
        <v>0</v>
      </c>
      <c r="AJ437" s="955">
        <v>0</v>
      </c>
      <c r="AK437" s="948">
        <f t="shared" si="1070"/>
        <v>3.3000000000000003</v>
      </c>
      <c r="AL437" s="948">
        <f t="shared" si="1071"/>
        <v>3.3000000000000003</v>
      </c>
      <c r="AM437" s="948">
        <f t="shared" si="1072"/>
        <v>5.5120000000000005</v>
      </c>
      <c r="AN437" s="948">
        <f t="shared" si="1073"/>
        <v>5.5120000000000005</v>
      </c>
      <c r="AO437" s="948">
        <f t="shared" si="1074"/>
        <v>3.3000000000000003</v>
      </c>
      <c r="AP437" s="948">
        <f t="shared" si="1075"/>
        <v>3.3000000000000003</v>
      </c>
      <c r="AQ437" s="948">
        <f t="shared" si="1076"/>
        <v>1.508</v>
      </c>
      <c r="AR437" s="948">
        <f t="shared" si="1077"/>
        <v>0</v>
      </c>
      <c r="AS437" s="948">
        <f t="shared" si="1078"/>
        <v>0</v>
      </c>
      <c r="AT437" s="948">
        <f t="shared" si="1079"/>
        <v>13.200000000000001</v>
      </c>
      <c r="AU437" s="948">
        <f t="shared" si="1080"/>
        <v>13.200000000000001</v>
      </c>
      <c r="AV437" s="948">
        <f t="shared" si="1081"/>
        <v>11.024000000000001</v>
      </c>
      <c r="AW437" s="948">
        <f t="shared" si="1082"/>
        <v>11.024000000000001</v>
      </c>
      <c r="AX437" s="948">
        <f t="shared" si="1083"/>
        <v>13.200000000000001</v>
      </c>
      <c r="AY437" s="948">
        <f t="shared" si="1084"/>
        <v>13.200000000000001</v>
      </c>
      <c r="AZ437" s="948">
        <f t="shared" si="1085"/>
        <v>136.47399999999999</v>
      </c>
      <c r="BA437" s="948">
        <f t="shared" si="1086"/>
        <v>0</v>
      </c>
      <c r="BB437" s="948">
        <f t="shared" si="1087"/>
        <v>0</v>
      </c>
      <c r="BC437" s="957">
        <f t="shared" si="1088"/>
        <v>1.5786666666666667</v>
      </c>
      <c r="BD437" s="957">
        <f t="shared" si="1088"/>
        <v>1.5786666666666667</v>
      </c>
      <c r="BE437" s="957">
        <f t="shared" si="1088"/>
        <v>1.5786666666666667</v>
      </c>
      <c r="BF437" s="957">
        <f t="shared" si="1088"/>
        <v>1.5786666666666667</v>
      </c>
      <c r="BG437" s="957">
        <f t="shared" si="1088"/>
        <v>1.5786666666666667</v>
      </c>
      <c r="BH437" s="957">
        <f t="shared" si="1088"/>
        <v>1.5786666666666667</v>
      </c>
      <c r="BI437" s="957">
        <f t="shared" si="1088"/>
        <v>0.39466666666666667</v>
      </c>
      <c r="BJ437" s="957">
        <f t="shared" si="1088"/>
        <v>0</v>
      </c>
      <c r="BK437" s="957">
        <f t="shared" si="1088"/>
        <v>0</v>
      </c>
      <c r="BL437" s="948">
        <f t="shared" si="1089"/>
        <v>20.8384</v>
      </c>
      <c r="BM437" s="948">
        <f t="shared" si="1089"/>
        <v>20.8384</v>
      </c>
      <c r="BN437" s="948">
        <f t="shared" si="1089"/>
        <v>17.403221333333335</v>
      </c>
      <c r="BO437" s="948">
        <f t="shared" si="1089"/>
        <v>17.403221333333335</v>
      </c>
      <c r="BP437" s="948">
        <f t="shared" si="1089"/>
        <v>20.8384</v>
      </c>
      <c r="BQ437" s="948">
        <f t="shared" si="1089"/>
        <v>20.8384</v>
      </c>
      <c r="BR437" s="948">
        <f t="shared" si="1089"/>
        <v>53.86173866666666</v>
      </c>
      <c r="BS437" s="948">
        <f>BB437*BK437</f>
        <v>0</v>
      </c>
      <c r="BT437" s="955">
        <f>SUM(BL437:BS437)/K437</f>
        <v>143.35148444444445</v>
      </c>
    </row>
    <row r="438" spans="1:72">
      <c r="A438" s="952"/>
      <c r="B438" s="952"/>
      <c r="C438" s="950"/>
      <c r="D438" s="950"/>
      <c r="E438" s="950"/>
      <c r="F438" s="948"/>
      <c r="G438" s="948"/>
      <c r="H438" s="948"/>
      <c r="I438" s="948"/>
      <c r="J438" s="948"/>
      <c r="K438" s="948"/>
      <c r="L438" s="948"/>
      <c r="M438" s="952"/>
      <c r="N438" s="948"/>
      <c r="O438" s="950"/>
      <c r="P438" s="950"/>
      <c r="Q438" s="950"/>
      <c r="R438" s="950"/>
      <c r="S438" s="950"/>
      <c r="T438" s="950"/>
      <c r="U438" s="950"/>
      <c r="V438" s="950"/>
      <c r="W438" s="950"/>
      <c r="X438" s="950"/>
      <c r="Y438" s="950"/>
      <c r="Z438" s="950"/>
      <c r="AA438" s="950"/>
      <c r="AB438" s="950"/>
      <c r="AC438" s="950"/>
      <c r="AD438" s="950"/>
      <c r="AE438" s="950"/>
      <c r="AF438" s="955"/>
      <c r="AG438" s="955"/>
      <c r="AH438" s="955"/>
      <c r="AI438" s="955"/>
      <c r="AJ438" s="955"/>
      <c r="AK438" s="948"/>
      <c r="AL438" s="948"/>
      <c r="AM438" s="948"/>
      <c r="AN438" s="948"/>
      <c r="AO438" s="948"/>
      <c r="AP438" s="948"/>
      <c r="AQ438" s="948"/>
      <c r="AR438" s="948"/>
      <c r="AS438" s="948"/>
      <c r="AT438" s="948"/>
      <c r="AU438" s="948"/>
      <c r="AV438" s="948"/>
      <c r="AW438" s="948"/>
      <c r="AX438" s="948"/>
      <c r="AY438" s="948"/>
      <c r="AZ438" s="948"/>
      <c r="BA438" s="948"/>
      <c r="BB438" s="948"/>
      <c r="BC438" s="957"/>
      <c r="BD438" s="957"/>
      <c r="BE438" s="957"/>
      <c r="BF438" s="957"/>
      <c r="BG438" s="957"/>
      <c r="BH438" s="957"/>
      <c r="BI438" s="957"/>
      <c r="BJ438" s="957"/>
      <c r="BK438" s="957"/>
      <c r="BL438" s="948"/>
      <c r="BM438" s="948"/>
      <c r="BN438" s="948"/>
      <c r="BO438" s="948"/>
      <c r="BP438" s="948"/>
      <c r="BQ438" s="948"/>
      <c r="BR438" s="948"/>
      <c r="BS438" s="948"/>
      <c r="BT438" s="955"/>
    </row>
    <row r="439" spans="1:72">
      <c r="A439" s="960" t="s">
        <v>8</v>
      </c>
      <c r="B439" s="960" t="s">
        <v>1104</v>
      </c>
      <c r="C439" s="950"/>
      <c r="D439" s="950"/>
      <c r="E439" s="950"/>
      <c r="F439" s="948"/>
      <c r="G439" s="948"/>
      <c r="H439" s="948"/>
      <c r="I439" s="948"/>
      <c r="J439" s="948"/>
      <c r="K439" s="948"/>
      <c r="L439" s="948"/>
      <c r="M439" s="952"/>
      <c r="N439" s="959" t="str">
        <f>A439</f>
        <v>B</v>
      </c>
      <c r="O439" s="959" t="str">
        <f>B439</f>
        <v>Horizontal</v>
      </c>
      <c r="P439" s="950"/>
      <c r="Q439" s="950"/>
      <c r="R439" s="950"/>
      <c r="S439" s="950"/>
      <c r="T439" s="950"/>
      <c r="U439" s="950"/>
      <c r="V439" s="950"/>
      <c r="W439" s="950"/>
      <c r="X439" s="950"/>
      <c r="Y439" s="950"/>
      <c r="Z439" s="950"/>
      <c r="AA439" s="950"/>
      <c r="AB439" s="950"/>
      <c r="AC439" s="950"/>
      <c r="AD439" s="950"/>
      <c r="AE439" s="950"/>
      <c r="AF439" s="955"/>
      <c r="AG439" s="955"/>
      <c r="AH439" s="955"/>
      <c r="AI439" s="955"/>
      <c r="AJ439" s="955"/>
      <c r="AK439" s="948"/>
      <c r="AL439" s="948"/>
      <c r="AM439" s="948"/>
      <c r="AN439" s="948"/>
      <c r="AO439" s="948"/>
      <c r="AP439" s="948"/>
      <c r="AQ439" s="948"/>
      <c r="AR439" s="948"/>
      <c r="AS439" s="948"/>
      <c r="AT439" s="948"/>
      <c r="AU439" s="948"/>
      <c r="AV439" s="948"/>
      <c r="AW439" s="948"/>
      <c r="AX439" s="948"/>
      <c r="AY439" s="948"/>
      <c r="AZ439" s="948"/>
      <c r="BA439" s="948"/>
      <c r="BB439" s="948"/>
      <c r="BC439" s="957"/>
      <c r="BD439" s="957"/>
      <c r="BE439" s="957"/>
      <c r="BF439" s="957"/>
      <c r="BG439" s="957"/>
      <c r="BH439" s="957"/>
      <c r="BI439" s="957"/>
      <c r="BJ439" s="957"/>
      <c r="BK439" s="957"/>
      <c r="BL439" s="948"/>
      <c r="BM439" s="948"/>
      <c r="BN439" s="948"/>
      <c r="BO439" s="948"/>
      <c r="BP439" s="948"/>
      <c r="BQ439" s="948"/>
      <c r="BR439" s="948"/>
      <c r="BS439" s="948"/>
      <c r="BT439" s="955"/>
    </row>
    <row r="440" spans="1:72">
      <c r="A440" s="952">
        <v>1</v>
      </c>
      <c r="B440" s="952" t="s">
        <v>1167</v>
      </c>
      <c r="C440" s="950" t="s">
        <v>1168</v>
      </c>
      <c r="D440" s="950">
        <v>1</v>
      </c>
      <c r="E440" s="950">
        <v>1</v>
      </c>
      <c r="F440" s="948">
        <v>8</v>
      </c>
      <c r="G440" s="948">
        <v>0.3</v>
      </c>
      <c r="H440" s="948">
        <v>0.7</v>
      </c>
      <c r="I440" s="948">
        <v>0.12</v>
      </c>
      <c r="J440" s="948">
        <f t="shared" ref="J440:J446" si="1093">H440-I440</f>
        <v>0.57999999999999996</v>
      </c>
      <c r="K440" s="948">
        <f>F440*G440*J440*D440*E440</f>
        <v>1.3919999999999999</v>
      </c>
      <c r="L440" s="948">
        <f t="shared" ref="L440" si="1094">(2*J440)*F440*E440*D440+(D440*E440*F440*G440)</f>
        <v>11.68</v>
      </c>
      <c r="M440" s="952"/>
      <c r="N440" s="950">
        <v>16</v>
      </c>
      <c r="O440" s="950">
        <v>16</v>
      </c>
      <c r="P440" s="950">
        <v>16</v>
      </c>
      <c r="Q440" s="950">
        <v>16</v>
      </c>
      <c r="R440" s="950">
        <v>16</v>
      </c>
      <c r="S440" s="950">
        <v>16</v>
      </c>
      <c r="T440" s="950">
        <v>8</v>
      </c>
      <c r="U440" s="950"/>
      <c r="V440" s="950"/>
      <c r="W440" s="950">
        <v>200</v>
      </c>
      <c r="X440" s="950">
        <v>100</v>
      </c>
      <c r="Y440" s="950">
        <v>100</v>
      </c>
      <c r="Z440" s="950">
        <v>4</v>
      </c>
      <c r="AA440" s="950">
        <v>4</v>
      </c>
      <c r="AB440" s="950">
        <v>2</v>
      </c>
      <c r="AC440" s="950">
        <v>2</v>
      </c>
      <c r="AD440" s="950">
        <v>4</v>
      </c>
      <c r="AE440" s="950">
        <v>4</v>
      </c>
      <c r="AF440" s="955">
        <f t="shared" ref="AF440:AF446" si="1095">(F440/4)/(W440/1000)+1</f>
        <v>11</v>
      </c>
      <c r="AG440" s="955">
        <f t="shared" ref="AG440:AG446" si="1096">(F440/2)/(X440/1000)+1</f>
        <v>41</v>
      </c>
      <c r="AH440" s="955">
        <f t="shared" ref="AH440:AH446" si="1097">(F440/4)/(Y440/1000)+1</f>
        <v>21</v>
      </c>
      <c r="AI440" s="955">
        <v>0</v>
      </c>
      <c r="AJ440" s="955">
        <v>0</v>
      </c>
      <c r="AK440" s="948">
        <f t="shared" ref="AK440:AK446" si="1098">(F440/4)+(20*N440/1000)+(10*N440/1000)+(8*N440/1000)+(6*2*N440/1000)</f>
        <v>2.8000000000000003</v>
      </c>
      <c r="AL440" s="948">
        <f t="shared" ref="AL440:AL446" si="1099">(F440/4)+(20*O440/1000)+(10*O440/1000)+(8*O440/1000)+(6*2*O440/1000)</f>
        <v>2.8000000000000003</v>
      </c>
      <c r="AM440" s="948">
        <f t="shared" ref="AM440:AM446" si="1100">(F440/2)+(20*P440/1000)+(6*2*P440/1000)</f>
        <v>4.5120000000000005</v>
      </c>
      <c r="AN440" s="948">
        <f t="shared" ref="AN440:AN446" si="1101">(F440/2)+(20*Q440/1000)+(6*2*Q440/1000)</f>
        <v>4.5120000000000005</v>
      </c>
      <c r="AO440" s="948">
        <f t="shared" ref="AO440:AO446" si="1102">(F440/4)+(20*R440/1000)+(10*R440/1000)+(8*R440/1000)+(6*2*R440/1000)</f>
        <v>2.8000000000000003</v>
      </c>
      <c r="AP440" s="948">
        <f t="shared" ref="AP440:AP446" si="1103">(F440/4)+(20*S440/1000)+(10*S440/1000)+(8*S440/1000)+(6*2*S440/1000)</f>
        <v>2.8000000000000003</v>
      </c>
      <c r="AQ440" s="948">
        <f t="shared" ref="AQ440:AQ446" si="1104">(2*G440)+(2*H440)+(6*T440/1000)-(8*0.03)</f>
        <v>1.8080000000000001</v>
      </c>
      <c r="AR440" s="948">
        <f t="shared" ref="AR440:AR446" si="1105">((H440)+(2*6*U440/1000)-(2*0.03))*AI440</f>
        <v>0</v>
      </c>
      <c r="AS440" s="948">
        <f t="shared" ref="AS440:AS446" si="1106">((G440)+(2*6*V440/1000)-(2*0.03))*AJ440</f>
        <v>0</v>
      </c>
      <c r="AT440" s="948">
        <f t="shared" ref="AT440:AT446" si="1107">AK440*Z440*E440*D440</f>
        <v>11.200000000000001</v>
      </c>
      <c r="AU440" s="948">
        <f t="shared" ref="AU440:AU446" si="1108">AL440*AA440*E440*D440</f>
        <v>11.200000000000001</v>
      </c>
      <c r="AV440" s="948">
        <f t="shared" ref="AV440:AV446" si="1109">AM440*AB440*E440*D440</f>
        <v>9.0240000000000009</v>
      </c>
      <c r="AW440" s="948">
        <f t="shared" ref="AW440:AW446" si="1110">AN440*AC440*E440*D440</f>
        <v>9.0240000000000009</v>
      </c>
      <c r="AX440" s="948">
        <f t="shared" ref="AX440:AX446" si="1111">AO440*AD440*E440*D440</f>
        <v>11.200000000000001</v>
      </c>
      <c r="AY440" s="948">
        <f t="shared" ref="AY440:AY446" si="1112">AP440*AE440*E440*D440</f>
        <v>11.200000000000001</v>
      </c>
      <c r="AZ440" s="948">
        <f t="shared" ref="AZ440:AZ446" si="1113">AQ440*(AF440+AG440+AH440)*E440*D440</f>
        <v>131.98400000000001</v>
      </c>
      <c r="BA440" s="948">
        <f t="shared" ref="BA440:BA446" si="1114">AR440*(AF440+AG440+AH440)*E440*D440</f>
        <v>0</v>
      </c>
      <c r="BB440" s="948">
        <f t="shared" ref="BB440:BB446" si="1115">AS440*(AF440+AG440+AH440)*E440*D440</f>
        <v>0</v>
      </c>
      <c r="BC440" s="957">
        <f t="shared" ref="BC440:BK446" si="1116">N440*N440*0.074/12</f>
        <v>1.5786666666666667</v>
      </c>
      <c r="BD440" s="957">
        <f t="shared" si="1116"/>
        <v>1.5786666666666667</v>
      </c>
      <c r="BE440" s="957">
        <f t="shared" si="1116"/>
        <v>1.5786666666666667</v>
      </c>
      <c r="BF440" s="957">
        <f t="shared" si="1116"/>
        <v>1.5786666666666667</v>
      </c>
      <c r="BG440" s="957">
        <f t="shared" si="1116"/>
        <v>1.5786666666666667</v>
      </c>
      <c r="BH440" s="957">
        <f t="shared" si="1116"/>
        <v>1.5786666666666667</v>
      </c>
      <c r="BI440" s="957">
        <f t="shared" si="1116"/>
        <v>0.39466666666666667</v>
      </c>
      <c r="BJ440" s="957">
        <f t="shared" si="1116"/>
        <v>0</v>
      </c>
      <c r="BK440" s="957">
        <f t="shared" si="1116"/>
        <v>0</v>
      </c>
      <c r="BL440" s="948">
        <f t="shared" ref="BL440:BR446" si="1117">AT440*BC440</f>
        <v>17.68106666666667</v>
      </c>
      <c r="BM440" s="948">
        <f t="shared" si="1117"/>
        <v>17.68106666666667</v>
      </c>
      <c r="BN440" s="948">
        <f t="shared" si="1117"/>
        <v>14.245888000000001</v>
      </c>
      <c r="BO440" s="948">
        <f t="shared" si="1117"/>
        <v>14.245888000000001</v>
      </c>
      <c r="BP440" s="948">
        <f t="shared" si="1117"/>
        <v>17.68106666666667</v>
      </c>
      <c r="BQ440" s="948">
        <f t="shared" si="1117"/>
        <v>17.68106666666667</v>
      </c>
      <c r="BR440" s="948">
        <f t="shared" si="1117"/>
        <v>52.089685333333335</v>
      </c>
      <c r="BS440" s="948">
        <f t="shared" ref="BS440:BS446" si="1118">BB440*BK440</f>
        <v>0</v>
      </c>
      <c r="BT440" s="955">
        <f t="shared" ref="BT440:BT446" si="1119">SUM(BL440:BS440)/K440</f>
        <v>108.69664367816094</v>
      </c>
    </row>
    <row r="441" spans="1:72">
      <c r="A441" s="952">
        <v>2</v>
      </c>
      <c r="B441" s="952" t="s">
        <v>1186</v>
      </c>
      <c r="C441" s="950" t="s">
        <v>1187</v>
      </c>
      <c r="D441" s="950">
        <v>1</v>
      </c>
      <c r="E441" s="950">
        <v>1</v>
      </c>
      <c r="F441" s="948">
        <v>14</v>
      </c>
      <c r="G441" s="948">
        <v>0.3</v>
      </c>
      <c r="H441" s="948">
        <v>0.65</v>
      </c>
      <c r="I441" s="948">
        <v>0.12</v>
      </c>
      <c r="J441" s="948">
        <f t="shared" si="1093"/>
        <v>0.53</v>
      </c>
      <c r="K441" s="948">
        <f t="shared" ref="K441:K446" si="1120">F441*G441*J441*D441*E441</f>
        <v>2.2260000000000004</v>
      </c>
      <c r="L441" s="948">
        <f t="shared" ref="L441:L446" si="1121">(2*J441)*F441*E441*D441</f>
        <v>14.84</v>
      </c>
      <c r="M441" s="952"/>
      <c r="N441" s="950">
        <v>16</v>
      </c>
      <c r="O441" s="950">
        <v>16</v>
      </c>
      <c r="P441" s="950">
        <v>16</v>
      </c>
      <c r="Q441" s="950">
        <v>16</v>
      </c>
      <c r="R441" s="950">
        <v>16</v>
      </c>
      <c r="S441" s="950">
        <v>16</v>
      </c>
      <c r="T441" s="950">
        <v>8</v>
      </c>
      <c r="U441" s="950"/>
      <c r="V441" s="950"/>
      <c r="W441" s="950">
        <v>200</v>
      </c>
      <c r="X441" s="950">
        <v>100</v>
      </c>
      <c r="Y441" s="950">
        <v>100</v>
      </c>
      <c r="Z441" s="950">
        <v>4</v>
      </c>
      <c r="AA441" s="950">
        <v>4</v>
      </c>
      <c r="AB441" s="950">
        <v>2</v>
      </c>
      <c r="AC441" s="950">
        <v>2</v>
      </c>
      <c r="AD441" s="950">
        <v>4</v>
      </c>
      <c r="AE441" s="950">
        <v>4</v>
      </c>
      <c r="AF441" s="955">
        <f t="shared" si="1095"/>
        <v>18.5</v>
      </c>
      <c r="AG441" s="955">
        <f t="shared" si="1096"/>
        <v>71</v>
      </c>
      <c r="AH441" s="955">
        <f t="shared" si="1097"/>
        <v>36</v>
      </c>
      <c r="AI441" s="955">
        <v>0</v>
      </c>
      <c r="AJ441" s="955">
        <v>0</v>
      </c>
      <c r="AK441" s="948">
        <f t="shared" si="1098"/>
        <v>4.3</v>
      </c>
      <c r="AL441" s="948">
        <f t="shared" si="1099"/>
        <v>4.3</v>
      </c>
      <c r="AM441" s="948">
        <f t="shared" si="1100"/>
        <v>7.5120000000000005</v>
      </c>
      <c r="AN441" s="948">
        <f t="shared" si="1101"/>
        <v>7.5120000000000005</v>
      </c>
      <c r="AO441" s="948">
        <f t="shared" si="1102"/>
        <v>4.3</v>
      </c>
      <c r="AP441" s="948">
        <f t="shared" si="1103"/>
        <v>4.3</v>
      </c>
      <c r="AQ441" s="948">
        <f t="shared" si="1104"/>
        <v>1.708</v>
      </c>
      <c r="AR441" s="948">
        <f t="shared" si="1105"/>
        <v>0</v>
      </c>
      <c r="AS441" s="948">
        <f t="shared" si="1106"/>
        <v>0</v>
      </c>
      <c r="AT441" s="948">
        <f t="shared" si="1107"/>
        <v>17.2</v>
      </c>
      <c r="AU441" s="948">
        <f t="shared" si="1108"/>
        <v>17.2</v>
      </c>
      <c r="AV441" s="948">
        <f t="shared" si="1109"/>
        <v>15.024000000000001</v>
      </c>
      <c r="AW441" s="948">
        <f t="shared" si="1110"/>
        <v>15.024000000000001</v>
      </c>
      <c r="AX441" s="948">
        <f t="shared" si="1111"/>
        <v>17.2</v>
      </c>
      <c r="AY441" s="948">
        <f t="shared" si="1112"/>
        <v>17.2</v>
      </c>
      <c r="AZ441" s="948">
        <f t="shared" si="1113"/>
        <v>214.35399999999998</v>
      </c>
      <c r="BA441" s="948">
        <f t="shared" si="1114"/>
        <v>0</v>
      </c>
      <c r="BB441" s="948">
        <f t="shared" si="1115"/>
        <v>0</v>
      </c>
      <c r="BC441" s="957">
        <f t="shared" si="1116"/>
        <v>1.5786666666666667</v>
      </c>
      <c r="BD441" s="957">
        <f t="shared" si="1116"/>
        <v>1.5786666666666667</v>
      </c>
      <c r="BE441" s="957">
        <f t="shared" si="1116"/>
        <v>1.5786666666666667</v>
      </c>
      <c r="BF441" s="957">
        <f t="shared" si="1116"/>
        <v>1.5786666666666667</v>
      </c>
      <c r="BG441" s="957">
        <f t="shared" si="1116"/>
        <v>1.5786666666666667</v>
      </c>
      <c r="BH441" s="957">
        <f t="shared" si="1116"/>
        <v>1.5786666666666667</v>
      </c>
      <c r="BI441" s="957">
        <f t="shared" si="1116"/>
        <v>0.39466666666666667</v>
      </c>
      <c r="BJ441" s="957">
        <f t="shared" si="1116"/>
        <v>0</v>
      </c>
      <c r="BK441" s="957">
        <f t="shared" si="1116"/>
        <v>0</v>
      </c>
      <c r="BL441" s="948">
        <f t="shared" si="1117"/>
        <v>27.153066666666664</v>
      </c>
      <c r="BM441" s="948">
        <f t="shared" si="1117"/>
        <v>27.153066666666664</v>
      </c>
      <c r="BN441" s="948">
        <f t="shared" si="1117"/>
        <v>23.717888000000002</v>
      </c>
      <c r="BO441" s="948">
        <f t="shared" si="1117"/>
        <v>23.717888000000002</v>
      </c>
      <c r="BP441" s="948">
        <f t="shared" si="1117"/>
        <v>27.153066666666664</v>
      </c>
      <c r="BQ441" s="948">
        <f t="shared" si="1117"/>
        <v>27.153066666666664</v>
      </c>
      <c r="BR441" s="948">
        <f t="shared" si="1117"/>
        <v>84.598378666666662</v>
      </c>
      <c r="BS441" s="948">
        <f t="shared" si="1118"/>
        <v>0</v>
      </c>
      <c r="BT441" s="955">
        <f t="shared" si="1119"/>
        <v>108.10710751722071</v>
      </c>
    </row>
    <row r="442" spans="1:72">
      <c r="A442" s="952">
        <v>2</v>
      </c>
      <c r="B442" s="952" t="s">
        <v>1188</v>
      </c>
      <c r="C442" s="950" t="s">
        <v>1189</v>
      </c>
      <c r="D442" s="950">
        <v>1</v>
      </c>
      <c r="E442" s="950">
        <v>1</v>
      </c>
      <c r="F442" s="948">
        <v>14</v>
      </c>
      <c r="G442" s="948">
        <v>0.3</v>
      </c>
      <c r="H442" s="948">
        <v>0.7</v>
      </c>
      <c r="I442" s="948">
        <v>0.12</v>
      </c>
      <c r="J442" s="948">
        <f t="shared" si="1093"/>
        <v>0.57999999999999996</v>
      </c>
      <c r="K442" s="948">
        <f t="shared" si="1120"/>
        <v>2.4359999999999999</v>
      </c>
      <c r="L442" s="948">
        <f t="shared" si="1121"/>
        <v>16.239999999999998</v>
      </c>
      <c r="M442" s="952"/>
      <c r="N442" s="950">
        <v>16</v>
      </c>
      <c r="O442" s="950">
        <v>16</v>
      </c>
      <c r="P442" s="950">
        <v>16</v>
      </c>
      <c r="Q442" s="950">
        <v>16</v>
      </c>
      <c r="R442" s="950">
        <v>16</v>
      </c>
      <c r="S442" s="950">
        <v>16</v>
      </c>
      <c r="T442" s="950">
        <v>8</v>
      </c>
      <c r="U442" s="950"/>
      <c r="V442" s="950"/>
      <c r="W442" s="950">
        <v>200</v>
      </c>
      <c r="X442" s="950">
        <v>100</v>
      </c>
      <c r="Y442" s="950">
        <v>100</v>
      </c>
      <c r="Z442" s="950">
        <v>4</v>
      </c>
      <c r="AA442" s="950">
        <v>4</v>
      </c>
      <c r="AB442" s="950">
        <v>2</v>
      </c>
      <c r="AC442" s="950">
        <v>2</v>
      </c>
      <c r="AD442" s="950">
        <v>4</v>
      </c>
      <c r="AE442" s="950">
        <v>4</v>
      </c>
      <c r="AF442" s="955">
        <f t="shared" si="1095"/>
        <v>18.5</v>
      </c>
      <c r="AG442" s="955">
        <f t="shared" si="1096"/>
        <v>71</v>
      </c>
      <c r="AH442" s="955">
        <f t="shared" si="1097"/>
        <v>36</v>
      </c>
      <c r="AI442" s="955">
        <v>0</v>
      </c>
      <c r="AJ442" s="955">
        <v>0</v>
      </c>
      <c r="AK442" s="948">
        <f t="shared" si="1098"/>
        <v>4.3</v>
      </c>
      <c r="AL442" s="948">
        <f t="shared" si="1099"/>
        <v>4.3</v>
      </c>
      <c r="AM442" s="948">
        <f t="shared" si="1100"/>
        <v>7.5120000000000005</v>
      </c>
      <c r="AN442" s="948">
        <f t="shared" si="1101"/>
        <v>7.5120000000000005</v>
      </c>
      <c r="AO442" s="948">
        <f t="shared" si="1102"/>
        <v>4.3</v>
      </c>
      <c r="AP442" s="948">
        <f t="shared" si="1103"/>
        <v>4.3</v>
      </c>
      <c r="AQ442" s="948">
        <f t="shared" si="1104"/>
        <v>1.8080000000000001</v>
      </c>
      <c r="AR442" s="948">
        <f t="shared" si="1105"/>
        <v>0</v>
      </c>
      <c r="AS442" s="948">
        <f t="shared" si="1106"/>
        <v>0</v>
      </c>
      <c r="AT442" s="948">
        <f t="shared" si="1107"/>
        <v>17.2</v>
      </c>
      <c r="AU442" s="948">
        <f t="shared" si="1108"/>
        <v>17.2</v>
      </c>
      <c r="AV442" s="948">
        <f t="shared" si="1109"/>
        <v>15.024000000000001</v>
      </c>
      <c r="AW442" s="948">
        <f t="shared" si="1110"/>
        <v>15.024000000000001</v>
      </c>
      <c r="AX442" s="948">
        <f t="shared" si="1111"/>
        <v>17.2</v>
      </c>
      <c r="AY442" s="948">
        <f t="shared" si="1112"/>
        <v>17.2</v>
      </c>
      <c r="AZ442" s="948">
        <f t="shared" si="1113"/>
        <v>226.904</v>
      </c>
      <c r="BA442" s="948">
        <f t="shared" si="1114"/>
        <v>0</v>
      </c>
      <c r="BB442" s="948">
        <f t="shared" si="1115"/>
        <v>0</v>
      </c>
      <c r="BC442" s="957">
        <f t="shared" si="1116"/>
        <v>1.5786666666666667</v>
      </c>
      <c r="BD442" s="957">
        <f t="shared" si="1116"/>
        <v>1.5786666666666667</v>
      </c>
      <c r="BE442" s="957">
        <f t="shared" si="1116"/>
        <v>1.5786666666666667</v>
      </c>
      <c r="BF442" s="957">
        <f t="shared" si="1116"/>
        <v>1.5786666666666667</v>
      </c>
      <c r="BG442" s="957">
        <f t="shared" si="1116"/>
        <v>1.5786666666666667</v>
      </c>
      <c r="BH442" s="957">
        <f t="shared" si="1116"/>
        <v>1.5786666666666667</v>
      </c>
      <c r="BI442" s="957">
        <f t="shared" si="1116"/>
        <v>0.39466666666666667</v>
      </c>
      <c r="BJ442" s="957">
        <f t="shared" si="1116"/>
        <v>0</v>
      </c>
      <c r="BK442" s="957">
        <f t="shared" si="1116"/>
        <v>0</v>
      </c>
      <c r="BL442" s="948">
        <f t="shared" si="1117"/>
        <v>27.153066666666664</v>
      </c>
      <c r="BM442" s="948">
        <f t="shared" si="1117"/>
        <v>27.153066666666664</v>
      </c>
      <c r="BN442" s="948">
        <f t="shared" si="1117"/>
        <v>23.717888000000002</v>
      </c>
      <c r="BO442" s="948">
        <f t="shared" si="1117"/>
        <v>23.717888000000002</v>
      </c>
      <c r="BP442" s="948">
        <f t="shared" si="1117"/>
        <v>27.153066666666664</v>
      </c>
      <c r="BQ442" s="948">
        <f t="shared" si="1117"/>
        <v>27.153066666666664</v>
      </c>
      <c r="BR442" s="948">
        <f t="shared" si="1117"/>
        <v>89.551445333333334</v>
      </c>
      <c r="BS442" s="948">
        <f t="shared" si="1118"/>
        <v>0</v>
      </c>
      <c r="BT442" s="955">
        <f t="shared" si="1119"/>
        <v>100.8208078817734</v>
      </c>
    </row>
    <row r="443" spans="1:72">
      <c r="A443" s="952">
        <v>3</v>
      </c>
      <c r="B443" s="952" t="s">
        <v>1170</v>
      </c>
      <c r="C443" s="950" t="s">
        <v>1190</v>
      </c>
      <c r="D443" s="950">
        <v>1</v>
      </c>
      <c r="E443" s="950">
        <v>1</v>
      </c>
      <c r="F443" s="948">
        <v>32</v>
      </c>
      <c r="G443" s="948">
        <v>0.3</v>
      </c>
      <c r="H443" s="948">
        <v>0.65</v>
      </c>
      <c r="I443" s="948">
        <v>0.12</v>
      </c>
      <c r="J443" s="948">
        <f t="shared" si="1093"/>
        <v>0.53</v>
      </c>
      <c r="K443" s="948">
        <f t="shared" si="1120"/>
        <v>5.0880000000000001</v>
      </c>
      <c r="L443" s="948">
        <f t="shared" si="1121"/>
        <v>33.92</v>
      </c>
      <c r="M443" s="952"/>
      <c r="N443" s="950">
        <v>16</v>
      </c>
      <c r="O443" s="950">
        <v>16</v>
      </c>
      <c r="P443" s="950">
        <v>16</v>
      </c>
      <c r="Q443" s="950">
        <v>16</v>
      </c>
      <c r="R443" s="950">
        <v>16</v>
      </c>
      <c r="S443" s="950">
        <v>16</v>
      </c>
      <c r="T443" s="950">
        <v>8</v>
      </c>
      <c r="U443" s="950"/>
      <c r="V443" s="950"/>
      <c r="W443" s="950">
        <v>200</v>
      </c>
      <c r="X443" s="950">
        <v>100</v>
      </c>
      <c r="Y443" s="950">
        <v>100</v>
      </c>
      <c r="Z443" s="950">
        <v>9</v>
      </c>
      <c r="AA443" s="950">
        <v>6</v>
      </c>
      <c r="AB443" s="950">
        <v>4</v>
      </c>
      <c r="AC443" s="950">
        <v>4</v>
      </c>
      <c r="AD443" s="950">
        <v>9</v>
      </c>
      <c r="AE443" s="950">
        <v>6</v>
      </c>
      <c r="AF443" s="955">
        <f t="shared" si="1095"/>
        <v>41</v>
      </c>
      <c r="AG443" s="955">
        <f t="shared" si="1096"/>
        <v>161</v>
      </c>
      <c r="AH443" s="955">
        <f t="shared" si="1097"/>
        <v>81</v>
      </c>
      <c r="AI443" s="955">
        <v>0</v>
      </c>
      <c r="AJ443" s="955">
        <v>0</v>
      </c>
      <c r="AK443" s="948">
        <f t="shared" si="1098"/>
        <v>8.8000000000000007</v>
      </c>
      <c r="AL443" s="948">
        <f t="shared" si="1099"/>
        <v>8.8000000000000007</v>
      </c>
      <c r="AM443" s="948">
        <f t="shared" si="1100"/>
        <v>16.512</v>
      </c>
      <c r="AN443" s="948">
        <f t="shared" si="1101"/>
        <v>16.512</v>
      </c>
      <c r="AO443" s="948">
        <f t="shared" si="1102"/>
        <v>8.8000000000000007</v>
      </c>
      <c r="AP443" s="948">
        <f t="shared" si="1103"/>
        <v>8.8000000000000007</v>
      </c>
      <c r="AQ443" s="948">
        <f t="shared" si="1104"/>
        <v>1.708</v>
      </c>
      <c r="AR443" s="948">
        <f t="shared" si="1105"/>
        <v>0</v>
      </c>
      <c r="AS443" s="948">
        <f t="shared" si="1106"/>
        <v>0</v>
      </c>
      <c r="AT443" s="948">
        <f t="shared" si="1107"/>
        <v>79.2</v>
      </c>
      <c r="AU443" s="948">
        <f t="shared" si="1108"/>
        <v>52.800000000000004</v>
      </c>
      <c r="AV443" s="948">
        <f t="shared" si="1109"/>
        <v>66.048000000000002</v>
      </c>
      <c r="AW443" s="948">
        <f t="shared" si="1110"/>
        <v>66.048000000000002</v>
      </c>
      <c r="AX443" s="948">
        <f t="shared" si="1111"/>
        <v>79.2</v>
      </c>
      <c r="AY443" s="948">
        <f t="shared" si="1112"/>
        <v>52.800000000000004</v>
      </c>
      <c r="AZ443" s="948">
        <f t="shared" si="1113"/>
        <v>483.36399999999998</v>
      </c>
      <c r="BA443" s="948">
        <f t="shared" si="1114"/>
        <v>0</v>
      </c>
      <c r="BB443" s="948">
        <f t="shared" si="1115"/>
        <v>0</v>
      </c>
      <c r="BC443" s="957">
        <f t="shared" si="1116"/>
        <v>1.5786666666666667</v>
      </c>
      <c r="BD443" s="957">
        <f t="shared" si="1116"/>
        <v>1.5786666666666667</v>
      </c>
      <c r="BE443" s="957">
        <f t="shared" si="1116"/>
        <v>1.5786666666666667</v>
      </c>
      <c r="BF443" s="957">
        <f t="shared" si="1116"/>
        <v>1.5786666666666667</v>
      </c>
      <c r="BG443" s="957">
        <f t="shared" si="1116"/>
        <v>1.5786666666666667</v>
      </c>
      <c r="BH443" s="957">
        <f t="shared" si="1116"/>
        <v>1.5786666666666667</v>
      </c>
      <c r="BI443" s="957">
        <f t="shared" si="1116"/>
        <v>0.39466666666666667</v>
      </c>
      <c r="BJ443" s="957">
        <f t="shared" si="1116"/>
        <v>0</v>
      </c>
      <c r="BK443" s="957">
        <f t="shared" si="1116"/>
        <v>0</v>
      </c>
      <c r="BL443" s="948">
        <f t="shared" si="1117"/>
        <v>125.0304</v>
      </c>
      <c r="BM443" s="948">
        <f t="shared" si="1117"/>
        <v>83.3536</v>
      </c>
      <c r="BN443" s="948">
        <f t="shared" si="1117"/>
        <v>104.267776</v>
      </c>
      <c r="BO443" s="948">
        <f t="shared" si="1117"/>
        <v>104.267776</v>
      </c>
      <c r="BP443" s="948">
        <f t="shared" si="1117"/>
        <v>125.0304</v>
      </c>
      <c r="BQ443" s="948">
        <f t="shared" si="1117"/>
        <v>83.3536</v>
      </c>
      <c r="BR443" s="948">
        <f t="shared" si="1117"/>
        <v>190.76765866666665</v>
      </c>
      <c r="BS443" s="948">
        <f t="shared" si="1118"/>
        <v>0</v>
      </c>
      <c r="BT443" s="955">
        <f t="shared" si="1119"/>
        <v>160.39135429769394</v>
      </c>
    </row>
    <row r="444" spans="1:72">
      <c r="A444" s="952">
        <v>4</v>
      </c>
      <c r="B444" s="952" t="s">
        <v>1183</v>
      </c>
      <c r="C444" s="950" t="s">
        <v>1191</v>
      </c>
      <c r="D444" s="950">
        <v>1</v>
      </c>
      <c r="E444" s="950">
        <v>1</v>
      </c>
      <c r="F444" s="948">
        <v>24</v>
      </c>
      <c r="G444" s="948">
        <v>0.3</v>
      </c>
      <c r="H444" s="948">
        <v>0.65</v>
      </c>
      <c r="I444" s="948">
        <v>0.12</v>
      </c>
      <c r="J444" s="948">
        <f t="shared" si="1093"/>
        <v>0.53</v>
      </c>
      <c r="K444" s="948">
        <f t="shared" si="1120"/>
        <v>3.8159999999999998</v>
      </c>
      <c r="L444" s="948">
        <f t="shared" si="1121"/>
        <v>25.44</v>
      </c>
      <c r="M444" s="952"/>
      <c r="N444" s="950">
        <v>25</v>
      </c>
      <c r="O444" s="950">
        <v>25</v>
      </c>
      <c r="P444" s="950">
        <v>25</v>
      </c>
      <c r="Q444" s="950">
        <v>25</v>
      </c>
      <c r="R444" s="950">
        <v>25</v>
      </c>
      <c r="S444" s="950">
        <v>25</v>
      </c>
      <c r="T444" s="950">
        <v>8</v>
      </c>
      <c r="U444" s="950"/>
      <c r="V444" s="950"/>
      <c r="W444" s="950">
        <v>200</v>
      </c>
      <c r="X444" s="950">
        <v>100</v>
      </c>
      <c r="Y444" s="950">
        <v>100</v>
      </c>
      <c r="Z444" s="950">
        <v>9</v>
      </c>
      <c r="AA444" s="950">
        <v>6</v>
      </c>
      <c r="AB444" s="950">
        <v>4</v>
      </c>
      <c r="AC444" s="950">
        <v>4</v>
      </c>
      <c r="AD444" s="950">
        <v>9</v>
      </c>
      <c r="AE444" s="950">
        <v>6</v>
      </c>
      <c r="AF444" s="955">
        <f t="shared" si="1095"/>
        <v>31</v>
      </c>
      <c r="AG444" s="955">
        <f t="shared" si="1096"/>
        <v>121</v>
      </c>
      <c r="AH444" s="955">
        <f t="shared" si="1097"/>
        <v>61</v>
      </c>
      <c r="AI444" s="955">
        <v>0</v>
      </c>
      <c r="AJ444" s="955">
        <v>0</v>
      </c>
      <c r="AK444" s="948">
        <f t="shared" si="1098"/>
        <v>7.25</v>
      </c>
      <c r="AL444" s="948">
        <f t="shared" si="1099"/>
        <v>7.25</v>
      </c>
      <c r="AM444" s="948">
        <f t="shared" si="1100"/>
        <v>12.8</v>
      </c>
      <c r="AN444" s="948">
        <f t="shared" si="1101"/>
        <v>12.8</v>
      </c>
      <c r="AO444" s="948">
        <f t="shared" si="1102"/>
        <v>7.25</v>
      </c>
      <c r="AP444" s="948">
        <f t="shared" si="1103"/>
        <v>7.25</v>
      </c>
      <c r="AQ444" s="948">
        <f t="shared" si="1104"/>
        <v>1.708</v>
      </c>
      <c r="AR444" s="948">
        <f t="shared" si="1105"/>
        <v>0</v>
      </c>
      <c r="AS444" s="948">
        <f t="shared" si="1106"/>
        <v>0</v>
      </c>
      <c r="AT444" s="948">
        <f t="shared" si="1107"/>
        <v>65.25</v>
      </c>
      <c r="AU444" s="948">
        <f t="shared" si="1108"/>
        <v>43.5</v>
      </c>
      <c r="AV444" s="948">
        <f t="shared" si="1109"/>
        <v>51.2</v>
      </c>
      <c r="AW444" s="948">
        <f t="shared" si="1110"/>
        <v>51.2</v>
      </c>
      <c r="AX444" s="948">
        <f t="shared" si="1111"/>
        <v>65.25</v>
      </c>
      <c r="AY444" s="948">
        <f t="shared" si="1112"/>
        <v>43.5</v>
      </c>
      <c r="AZ444" s="948">
        <f t="shared" si="1113"/>
        <v>363.80399999999997</v>
      </c>
      <c r="BA444" s="948">
        <f t="shared" si="1114"/>
        <v>0</v>
      </c>
      <c r="BB444" s="948">
        <f t="shared" si="1115"/>
        <v>0</v>
      </c>
      <c r="BC444" s="957">
        <f t="shared" si="1116"/>
        <v>3.8541666666666665</v>
      </c>
      <c r="BD444" s="957">
        <f t="shared" si="1116"/>
        <v>3.8541666666666665</v>
      </c>
      <c r="BE444" s="957">
        <f t="shared" si="1116"/>
        <v>3.8541666666666665</v>
      </c>
      <c r="BF444" s="957">
        <f t="shared" si="1116"/>
        <v>3.8541666666666665</v>
      </c>
      <c r="BG444" s="957">
        <f t="shared" si="1116"/>
        <v>3.8541666666666665</v>
      </c>
      <c r="BH444" s="957">
        <f t="shared" si="1116"/>
        <v>3.8541666666666665</v>
      </c>
      <c r="BI444" s="957">
        <f t="shared" si="1116"/>
        <v>0.39466666666666667</v>
      </c>
      <c r="BJ444" s="957">
        <f t="shared" si="1116"/>
        <v>0</v>
      </c>
      <c r="BK444" s="957">
        <f t="shared" si="1116"/>
        <v>0</v>
      </c>
      <c r="BL444" s="948">
        <f t="shared" si="1117"/>
        <v>251.484375</v>
      </c>
      <c r="BM444" s="948">
        <f t="shared" si="1117"/>
        <v>167.65625</v>
      </c>
      <c r="BN444" s="948">
        <f t="shared" si="1117"/>
        <v>197.33333333333334</v>
      </c>
      <c r="BO444" s="948">
        <f t="shared" si="1117"/>
        <v>197.33333333333334</v>
      </c>
      <c r="BP444" s="948">
        <f t="shared" si="1117"/>
        <v>251.484375</v>
      </c>
      <c r="BQ444" s="948">
        <f t="shared" si="1117"/>
        <v>167.65625</v>
      </c>
      <c r="BR444" s="948">
        <f t="shared" si="1117"/>
        <v>143.581312</v>
      </c>
      <c r="BS444" s="948">
        <f t="shared" si="1118"/>
        <v>0</v>
      </c>
      <c r="BT444" s="955">
        <f t="shared" si="1119"/>
        <v>360.72568885394833</v>
      </c>
    </row>
    <row r="445" spans="1:72">
      <c r="A445" s="952">
        <v>5</v>
      </c>
      <c r="B445" s="952" t="s">
        <v>1173</v>
      </c>
      <c r="C445" s="950" t="s">
        <v>1174</v>
      </c>
      <c r="D445" s="950">
        <v>1</v>
      </c>
      <c r="E445" s="950">
        <v>1</v>
      </c>
      <c r="F445" s="948">
        <v>5.4</v>
      </c>
      <c r="G445" s="948">
        <v>0.3</v>
      </c>
      <c r="H445" s="948">
        <v>0.65</v>
      </c>
      <c r="I445" s="948">
        <v>0.12</v>
      </c>
      <c r="J445" s="948">
        <f t="shared" si="1093"/>
        <v>0.53</v>
      </c>
      <c r="K445" s="948">
        <f t="shared" si="1120"/>
        <v>0.85860000000000014</v>
      </c>
      <c r="L445" s="948">
        <f t="shared" si="1121"/>
        <v>5.7240000000000011</v>
      </c>
      <c r="M445" s="952"/>
      <c r="N445" s="950">
        <v>16</v>
      </c>
      <c r="O445" s="950">
        <v>16</v>
      </c>
      <c r="P445" s="950">
        <v>16</v>
      </c>
      <c r="Q445" s="950">
        <v>16</v>
      </c>
      <c r="R445" s="950">
        <v>16</v>
      </c>
      <c r="S445" s="950">
        <v>16</v>
      </c>
      <c r="T445" s="950">
        <v>8</v>
      </c>
      <c r="U445" s="950"/>
      <c r="V445" s="950"/>
      <c r="W445" s="950">
        <v>200</v>
      </c>
      <c r="X445" s="950">
        <v>100</v>
      </c>
      <c r="Y445" s="950">
        <v>100</v>
      </c>
      <c r="Z445" s="950">
        <v>9</v>
      </c>
      <c r="AA445" s="950">
        <v>6</v>
      </c>
      <c r="AB445" s="950">
        <v>4</v>
      </c>
      <c r="AC445" s="950">
        <v>4</v>
      </c>
      <c r="AD445" s="950">
        <v>9</v>
      </c>
      <c r="AE445" s="950">
        <v>6</v>
      </c>
      <c r="AF445" s="955">
        <f t="shared" si="1095"/>
        <v>7.75</v>
      </c>
      <c r="AG445" s="955">
        <f t="shared" si="1096"/>
        <v>28</v>
      </c>
      <c r="AH445" s="955">
        <f t="shared" si="1097"/>
        <v>14.5</v>
      </c>
      <c r="AI445" s="955">
        <v>0</v>
      </c>
      <c r="AJ445" s="955">
        <v>0</v>
      </c>
      <c r="AK445" s="948">
        <f t="shared" si="1098"/>
        <v>2.1500000000000004</v>
      </c>
      <c r="AL445" s="948">
        <f t="shared" si="1099"/>
        <v>2.1500000000000004</v>
      </c>
      <c r="AM445" s="948">
        <f t="shared" si="1100"/>
        <v>3.2120000000000002</v>
      </c>
      <c r="AN445" s="948">
        <f t="shared" si="1101"/>
        <v>3.2120000000000002</v>
      </c>
      <c r="AO445" s="948">
        <f t="shared" si="1102"/>
        <v>2.1500000000000004</v>
      </c>
      <c r="AP445" s="948">
        <f t="shared" si="1103"/>
        <v>2.1500000000000004</v>
      </c>
      <c r="AQ445" s="948">
        <f t="shared" si="1104"/>
        <v>1.708</v>
      </c>
      <c r="AR445" s="948">
        <f t="shared" si="1105"/>
        <v>0</v>
      </c>
      <c r="AS445" s="948">
        <f t="shared" si="1106"/>
        <v>0</v>
      </c>
      <c r="AT445" s="948">
        <f t="shared" si="1107"/>
        <v>19.350000000000001</v>
      </c>
      <c r="AU445" s="948">
        <f t="shared" si="1108"/>
        <v>12.900000000000002</v>
      </c>
      <c r="AV445" s="948">
        <f t="shared" si="1109"/>
        <v>12.848000000000001</v>
      </c>
      <c r="AW445" s="948">
        <f t="shared" si="1110"/>
        <v>12.848000000000001</v>
      </c>
      <c r="AX445" s="948">
        <f t="shared" si="1111"/>
        <v>19.350000000000001</v>
      </c>
      <c r="AY445" s="948">
        <f t="shared" si="1112"/>
        <v>12.900000000000002</v>
      </c>
      <c r="AZ445" s="948">
        <f t="shared" si="1113"/>
        <v>85.826999999999998</v>
      </c>
      <c r="BA445" s="948">
        <f t="shared" si="1114"/>
        <v>0</v>
      </c>
      <c r="BB445" s="948">
        <f t="shared" si="1115"/>
        <v>0</v>
      </c>
      <c r="BC445" s="957">
        <f t="shared" si="1116"/>
        <v>1.5786666666666667</v>
      </c>
      <c r="BD445" s="957">
        <f t="shared" si="1116"/>
        <v>1.5786666666666667</v>
      </c>
      <c r="BE445" s="957">
        <f t="shared" si="1116"/>
        <v>1.5786666666666667</v>
      </c>
      <c r="BF445" s="957">
        <f t="shared" si="1116"/>
        <v>1.5786666666666667</v>
      </c>
      <c r="BG445" s="957">
        <f t="shared" si="1116"/>
        <v>1.5786666666666667</v>
      </c>
      <c r="BH445" s="957">
        <f t="shared" si="1116"/>
        <v>1.5786666666666667</v>
      </c>
      <c r="BI445" s="957">
        <f t="shared" si="1116"/>
        <v>0.39466666666666667</v>
      </c>
      <c r="BJ445" s="957">
        <f t="shared" si="1116"/>
        <v>0</v>
      </c>
      <c r="BK445" s="957">
        <f t="shared" si="1116"/>
        <v>0</v>
      </c>
      <c r="BL445" s="948">
        <f t="shared" si="1117"/>
        <v>30.547200000000004</v>
      </c>
      <c r="BM445" s="948">
        <f t="shared" si="1117"/>
        <v>20.364800000000002</v>
      </c>
      <c r="BN445" s="948">
        <f t="shared" si="1117"/>
        <v>20.282709333333333</v>
      </c>
      <c r="BO445" s="948">
        <f t="shared" si="1117"/>
        <v>20.282709333333333</v>
      </c>
      <c r="BP445" s="948">
        <f t="shared" si="1117"/>
        <v>30.547200000000004</v>
      </c>
      <c r="BQ445" s="948">
        <f t="shared" si="1117"/>
        <v>20.364800000000002</v>
      </c>
      <c r="BR445" s="948">
        <f t="shared" si="1117"/>
        <v>33.873055999999998</v>
      </c>
      <c r="BS445" s="948">
        <f t="shared" si="1118"/>
        <v>0</v>
      </c>
      <c r="BT445" s="955">
        <f t="shared" si="1119"/>
        <v>205.29055982607341</v>
      </c>
    </row>
    <row r="446" spans="1:72">
      <c r="A446" s="952">
        <v>6</v>
      </c>
      <c r="B446" s="952" t="s">
        <v>1192</v>
      </c>
      <c r="C446" s="950" t="s">
        <v>1193</v>
      </c>
      <c r="D446" s="950">
        <v>1</v>
      </c>
      <c r="E446" s="950">
        <v>1</v>
      </c>
      <c r="F446" s="948">
        <v>14</v>
      </c>
      <c r="G446" s="948">
        <v>0.3</v>
      </c>
      <c r="H446" s="948">
        <v>0.7</v>
      </c>
      <c r="I446" s="948">
        <v>0.12</v>
      </c>
      <c r="J446" s="948">
        <f t="shared" si="1093"/>
        <v>0.57999999999999996</v>
      </c>
      <c r="K446" s="948">
        <f t="shared" si="1120"/>
        <v>2.4359999999999999</v>
      </c>
      <c r="L446" s="948">
        <f t="shared" si="1121"/>
        <v>16.239999999999998</v>
      </c>
      <c r="M446" s="952"/>
      <c r="N446" s="950">
        <v>25</v>
      </c>
      <c r="O446" s="950">
        <v>25</v>
      </c>
      <c r="P446" s="950">
        <v>25</v>
      </c>
      <c r="Q446" s="950">
        <v>25</v>
      </c>
      <c r="R446" s="950">
        <v>25</v>
      </c>
      <c r="S446" s="950">
        <v>25</v>
      </c>
      <c r="T446" s="950">
        <v>8</v>
      </c>
      <c r="U446" s="950"/>
      <c r="V446" s="950"/>
      <c r="W446" s="950">
        <v>200</v>
      </c>
      <c r="X446" s="950">
        <v>100</v>
      </c>
      <c r="Y446" s="950">
        <v>100</v>
      </c>
      <c r="Z446" s="950">
        <v>9</v>
      </c>
      <c r="AA446" s="950">
        <v>6</v>
      </c>
      <c r="AB446" s="950">
        <v>4</v>
      </c>
      <c r="AC446" s="950">
        <v>4</v>
      </c>
      <c r="AD446" s="950">
        <v>9</v>
      </c>
      <c r="AE446" s="950">
        <v>6</v>
      </c>
      <c r="AF446" s="955">
        <f t="shared" si="1095"/>
        <v>18.5</v>
      </c>
      <c r="AG446" s="955">
        <f t="shared" si="1096"/>
        <v>71</v>
      </c>
      <c r="AH446" s="955">
        <f t="shared" si="1097"/>
        <v>36</v>
      </c>
      <c r="AI446" s="955">
        <v>0</v>
      </c>
      <c r="AJ446" s="955">
        <v>0</v>
      </c>
      <c r="AK446" s="948">
        <f t="shared" si="1098"/>
        <v>4.75</v>
      </c>
      <c r="AL446" s="948">
        <f t="shared" si="1099"/>
        <v>4.75</v>
      </c>
      <c r="AM446" s="948">
        <f t="shared" si="1100"/>
        <v>7.8</v>
      </c>
      <c r="AN446" s="948">
        <f t="shared" si="1101"/>
        <v>7.8</v>
      </c>
      <c r="AO446" s="948">
        <f t="shared" si="1102"/>
        <v>4.75</v>
      </c>
      <c r="AP446" s="948">
        <f t="shared" si="1103"/>
        <v>4.75</v>
      </c>
      <c r="AQ446" s="948">
        <f t="shared" si="1104"/>
        <v>1.8080000000000001</v>
      </c>
      <c r="AR446" s="948">
        <f t="shared" si="1105"/>
        <v>0</v>
      </c>
      <c r="AS446" s="948">
        <f t="shared" si="1106"/>
        <v>0</v>
      </c>
      <c r="AT446" s="948">
        <f t="shared" si="1107"/>
        <v>42.75</v>
      </c>
      <c r="AU446" s="948">
        <f t="shared" si="1108"/>
        <v>28.5</v>
      </c>
      <c r="AV446" s="948">
        <f t="shared" si="1109"/>
        <v>31.2</v>
      </c>
      <c r="AW446" s="948">
        <f t="shared" si="1110"/>
        <v>31.2</v>
      </c>
      <c r="AX446" s="948">
        <f t="shared" si="1111"/>
        <v>42.75</v>
      </c>
      <c r="AY446" s="948">
        <f t="shared" si="1112"/>
        <v>28.5</v>
      </c>
      <c r="AZ446" s="948">
        <f t="shared" si="1113"/>
        <v>226.904</v>
      </c>
      <c r="BA446" s="948">
        <f t="shared" si="1114"/>
        <v>0</v>
      </c>
      <c r="BB446" s="948">
        <f t="shared" si="1115"/>
        <v>0</v>
      </c>
      <c r="BC446" s="957">
        <f t="shared" si="1116"/>
        <v>3.8541666666666665</v>
      </c>
      <c r="BD446" s="957">
        <f t="shared" si="1116"/>
        <v>3.8541666666666665</v>
      </c>
      <c r="BE446" s="957">
        <f t="shared" si="1116"/>
        <v>3.8541666666666665</v>
      </c>
      <c r="BF446" s="957">
        <f t="shared" si="1116"/>
        <v>3.8541666666666665</v>
      </c>
      <c r="BG446" s="957">
        <f t="shared" si="1116"/>
        <v>3.8541666666666665</v>
      </c>
      <c r="BH446" s="957">
        <f t="shared" si="1116"/>
        <v>3.8541666666666665</v>
      </c>
      <c r="BI446" s="957">
        <f t="shared" si="1116"/>
        <v>0.39466666666666667</v>
      </c>
      <c r="BJ446" s="957">
        <f t="shared" si="1116"/>
        <v>0</v>
      </c>
      <c r="BK446" s="957">
        <f t="shared" si="1116"/>
        <v>0</v>
      </c>
      <c r="BL446" s="948">
        <f t="shared" si="1117"/>
        <v>164.765625</v>
      </c>
      <c r="BM446" s="948">
        <f t="shared" si="1117"/>
        <v>109.84375</v>
      </c>
      <c r="BN446" s="948">
        <f t="shared" si="1117"/>
        <v>120.24999999999999</v>
      </c>
      <c r="BO446" s="948">
        <f t="shared" si="1117"/>
        <v>120.24999999999999</v>
      </c>
      <c r="BP446" s="948">
        <f t="shared" si="1117"/>
        <v>164.765625</v>
      </c>
      <c r="BQ446" s="948">
        <f t="shared" si="1117"/>
        <v>109.84375</v>
      </c>
      <c r="BR446" s="948">
        <f t="shared" si="1117"/>
        <v>89.551445333333334</v>
      </c>
      <c r="BS446" s="948">
        <f t="shared" si="1118"/>
        <v>0</v>
      </c>
      <c r="BT446" s="955">
        <f t="shared" si="1119"/>
        <v>360.94835604816637</v>
      </c>
    </row>
    <row r="447" spans="1:72">
      <c r="A447" s="952">
        <v>7</v>
      </c>
      <c r="B447" s="952" t="s">
        <v>1177</v>
      </c>
      <c r="C447" s="950" t="s">
        <v>1099</v>
      </c>
      <c r="D447" s="950">
        <v>1</v>
      </c>
      <c r="E447" s="950">
        <v>1</v>
      </c>
      <c r="F447" s="948">
        <v>4.75</v>
      </c>
      <c r="G447" s="948">
        <v>0.25</v>
      </c>
      <c r="H447" s="948">
        <v>0.6</v>
      </c>
      <c r="I447" s="948">
        <v>0.12</v>
      </c>
      <c r="J447" s="948">
        <v>0.48</v>
      </c>
      <c r="K447" s="948">
        <v>0.64800000000000002</v>
      </c>
      <c r="L447" s="948">
        <v>5.1840000000000002</v>
      </c>
      <c r="M447" s="952"/>
      <c r="N447" s="950">
        <v>16</v>
      </c>
      <c r="O447" s="950">
        <v>16</v>
      </c>
      <c r="P447" s="950">
        <v>16</v>
      </c>
      <c r="Q447" s="950">
        <v>16</v>
      </c>
      <c r="R447" s="950">
        <v>16</v>
      </c>
      <c r="S447" s="950">
        <v>16</v>
      </c>
      <c r="T447" s="950">
        <v>8</v>
      </c>
      <c r="U447" s="950"/>
      <c r="V447" s="950"/>
      <c r="W447" s="950">
        <v>200</v>
      </c>
      <c r="X447" s="950">
        <v>100</v>
      </c>
      <c r="Y447" s="950">
        <v>100</v>
      </c>
      <c r="Z447" s="950">
        <v>9</v>
      </c>
      <c r="AA447" s="950">
        <v>6</v>
      </c>
      <c r="AB447" s="950">
        <v>4</v>
      </c>
      <c r="AC447" s="950">
        <v>4</v>
      </c>
      <c r="AD447" s="950">
        <v>9</v>
      </c>
      <c r="AE447" s="950">
        <v>6</v>
      </c>
      <c r="AF447" s="955">
        <v>7.75</v>
      </c>
      <c r="AG447" s="955">
        <v>28</v>
      </c>
      <c r="AH447" s="955">
        <v>14.5</v>
      </c>
      <c r="AI447" s="955">
        <v>0</v>
      </c>
      <c r="AJ447" s="955">
        <v>0</v>
      </c>
      <c r="AK447" s="948">
        <v>2.1500000000000004</v>
      </c>
      <c r="AL447" s="948">
        <v>2.1500000000000004</v>
      </c>
      <c r="AM447" s="948">
        <v>3.2120000000000002</v>
      </c>
      <c r="AN447" s="948">
        <v>3.2120000000000002</v>
      </c>
      <c r="AO447" s="948">
        <v>2.1500000000000004</v>
      </c>
      <c r="AP447" s="948">
        <v>2.1500000000000004</v>
      </c>
      <c r="AQ447" s="948">
        <v>1.508</v>
      </c>
      <c r="AR447" s="948">
        <v>0</v>
      </c>
      <c r="AS447" s="948">
        <v>0</v>
      </c>
      <c r="AT447" s="948">
        <v>19.350000000000001</v>
      </c>
      <c r="AU447" s="948">
        <v>12.900000000000002</v>
      </c>
      <c r="AV447" s="948">
        <v>12.848000000000001</v>
      </c>
      <c r="AW447" s="948">
        <v>12.848000000000001</v>
      </c>
      <c r="AX447" s="948">
        <v>19.350000000000001</v>
      </c>
      <c r="AY447" s="948">
        <v>12.900000000000002</v>
      </c>
      <c r="AZ447" s="948">
        <v>75.777000000000001</v>
      </c>
      <c r="BA447" s="948">
        <v>0</v>
      </c>
      <c r="BB447" s="948">
        <v>0</v>
      </c>
      <c r="BC447" s="957">
        <v>1.5786666666666667</v>
      </c>
      <c r="BD447" s="957">
        <v>1.5786666666666667</v>
      </c>
      <c r="BE447" s="957">
        <v>1.5786666666666667</v>
      </c>
      <c r="BF447" s="957">
        <v>1.5786666666666667</v>
      </c>
      <c r="BG447" s="957">
        <v>1.5786666666666667</v>
      </c>
      <c r="BH447" s="957">
        <v>1.5786666666666667</v>
      </c>
      <c r="BI447" s="957">
        <v>0.39466666666666667</v>
      </c>
      <c r="BJ447" s="957">
        <v>0</v>
      </c>
      <c r="BK447" s="957">
        <v>0</v>
      </c>
      <c r="BL447" s="948">
        <v>30.547200000000004</v>
      </c>
      <c r="BM447" s="948">
        <v>20.364800000000002</v>
      </c>
      <c r="BN447" s="948">
        <v>20.282709333333333</v>
      </c>
      <c r="BO447" s="948">
        <v>20.282709333333333</v>
      </c>
      <c r="BP447" s="948">
        <v>30.547200000000004</v>
      </c>
      <c r="BQ447" s="948">
        <v>20.364800000000002</v>
      </c>
      <c r="BR447" s="948">
        <v>29.906656000000002</v>
      </c>
      <c r="BS447" s="948">
        <v>0</v>
      </c>
      <c r="BT447" s="955">
        <v>265.88900411522633</v>
      </c>
    </row>
    <row r="448" spans="1:72">
      <c r="A448" s="952">
        <v>8</v>
      </c>
      <c r="B448" s="952" t="s">
        <v>1179</v>
      </c>
      <c r="C448" s="950" t="s">
        <v>1125</v>
      </c>
      <c r="D448" s="950">
        <v>1</v>
      </c>
      <c r="E448" s="950">
        <v>1</v>
      </c>
      <c r="F448" s="948">
        <v>8</v>
      </c>
      <c r="G448" s="948">
        <v>0.3</v>
      </c>
      <c r="H448" s="948">
        <v>0.65</v>
      </c>
      <c r="I448" s="948">
        <v>0.12</v>
      </c>
      <c r="J448" s="948">
        <f t="shared" ref="J448:J451" si="1122">H448-I448</f>
        <v>0.53</v>
      </c>
      <c r="K448" s="948">
        <f t="shared" ref="K448:K451" si="1123">F448*G448*J448*D448*E448</f>
        <v>1.272</v>
      </c>
      <c r="L448" s="948">
        <f t="shared" ref="L448:L451" si="1124">(2*J448)*F448*E448*D448</f>
        <v>8.48</v>
      </c>
      <c r="M448" s="952"/>
      <c r="N448" s="950">
        <v>16</v>
      </c>
      <c r="O448" s="950">
        <v>16</v>
      </c>
      <c r="P448" s="950">
        <v>16</v>
      </c>
      <c r="Q448" s="950">
        <v>16</v>
      </c>
      <c r="R448" s="950">
        <v>16</v>
      </c>
      <c r="S448" s="950">
        <v>16</v>
      </c>
      <c r="T448" s="950">
        <v>8</v>
      </c>
      <c r="U448" s="950"/>
      <c r="V448" s="950"/>
      <c r="W448" s="950">
        <v>200</v>
      </c>
      <c r="X448" s="950">
        <v>100</v>
      </c>
      <c r="Y448" s="950">
        <v>100</v>
      </c>
      <c r="Z448" s="950">
        <v>9</v>
      </c>
      <c r="AA448" s="950">
        <v>6</v>
      </c>
      <c r="AB448" s="950">
        <v>4</v>
      </c>
      <c r="AC448" s="950">
        <v>4</v>
      </c>
      <c r="AD448" s="950">
        <v>9</v>
      </c>
      <c r="AE448" s="950">
        <v>6</v>
      </c>
      <c r="AF448" s="955">
        <f t="shared" ref="AF448:AF451" si="1125">(F448/4)/(W448/1000)+1</f>
        <v>11</v>
      </c>
      <c r="AG448" s="955">
        <f t="shared" ref="AG448:AG451" si="1126">(F448/2)/(X448/1000)+1</f>
        <v>41</v>
      </c>
      <c r="AH448" s="955">
        <f t="shared" ref="AH448:AH451" si="1127">(F448/4)/(Y448/1000)+1</f>
        <v>21</v>
      </c>
      <c r="AI448" s="955">
        <v>0</v>
      </c>
      <c r="AJ448" s="955">
        <v>0</v>
      </c>
      <c r="AK448" s="948">
        <f t="shared" ref="AK448:AK451" si="1128">(F448/4)+(20*N448/1000)+(10*N448/1000)+(8*N448/1000)+(6*2*N448/1000)</f>
        <v>2.8000000000000003</v>
      </c>
      <c r="AL448" s="948">
        <f t="shared" ref="AL448:AL451" si="1129">(F448/4)+(20*O448/1000)+(10*O448/1000)+(8*O448/1000)+(6*2*O448/1000)</f>
        <v>2.8000000000000003</v>
      </c>
      <c r="AM448" s="948">
        <f t="shared" ref="AM448:AM451" si="1130">(F448/2)+(20*P448/1000)+(6*2*P448/1000)</f>
        <v>4.5120000000000005</v>
      </c>
      <c r="AN448" s="948">
        <f t="shared" ref="AN448:AN451" si="1131">(F448/2)+(20*Q448/1000)+(6*2*Q448/1000)</f>
        <v>4.5120000000000005</v>
      </c>
      <c r="AO448" s="948">
        <f t="shared" ref="AO448:AO451" si="1132">(F448/4)+(20*R448/1000)+(10*R448/1000)+(8*R448/1000)+(6*2*R448/1000)</f>
        <v>2.8000000000000003</v>
      </c>
      <c r="AP448" s="948">
        <f t="shared" ref="AP448:AP451" si="1133">(F448/4)+(20*S448/1000)+(10*S448/1000)+(8*S448/1000)+(6*2*S448/1000)</f>
        <v>2.8000000000000003</v>
      </c>
      <c r="AQ448" s="948">
        <f t="shared" ref="AQ448:AQ451" si="1134">(2*G448)+(2*H448)+(6*T448/1000)-(8*0.03)</f>
        <v>1.708</v>
      </c>
      <c r="AR448" s="948">
        <f t="shared" ref="AR448:AR451" si="1135">((H448)+(2*6*U448/1000)-(2*0.03))*AI448</f>
        <v>0</v>
      </c>
      <c r="AS448" s="948">
        <f t="shared" ref="AS448:AS451" si="1136">((G448)+(2*6*V448/1000)-(2*0.03))*AJ448</f>
        <v>0</v>
      </c>
      <c r="AT448" s="948">
        <f t="shared" ref="AT448:AT451" si="1137">AK448*Z448*E448*D448</f>
        <v>25.200000000000003</v>
      </c>
      <c r="AU448" s="948">
        <f t="shared" ref="AU448:AU451" si="1138">AL448*AA448*E448*D448</f>
        <v>16.8</v>
      </c>
      <c r="AV448" s="948">
        <f t="shared" ref="AV448:AV451" si="1139">AM448*AB448*E448*D448</f>
        <v>18.048000000000002</v>
      </c>
      <c r="AW448" s="948">
        <f t="shared" ref="AW448:AW451" si="1140">AN448*AC448*E448*D448</f>
        <v>18.048000000000002</v>
      </c>
      <c r="AX448" s="948">
        <f t="shared" ref="AX448:AX451" si="1141">AO448*AD448*E448*D448</f>
        <v>25.200000000000003</v>
      </c>
      <c r="AY448" s="948">
        <f t="shared" ref="AY448:AY451" si="1142">AP448*AE448*E448*D448</f>
        <v>16.8</v>
      </c>
      <c r="AZ448" s="948">
        <f t="shared" ref="AZ448:AZ451" si="1143">AQ448*(AF448+AG448+AH448)*E448*D448</f>
        <v>124.684</v>
      </c>
      <c r="BA448" s="948">
        <f t="shared" ref="BA448:BA451" si="1144">AR448*(AF448+AG448+AH448)*E448*D448</f>
        <v>0</v>
      </c>
      <c r="BB448" s="948">
        <f t="shared" ref="BB448:BB451" si="1145">AS448*(AF448+AG448+AH448)*E448*D448</f>
        <v>0</v>
      </c>
      <c r="BC448" s="957">
        <f t="shared" ref="BC448:BK451" si="1146">N448*N448*0.074/12</f>
        <v>1.5786666666666667</v>
      </c>
      <c r="BD448" s="957">
        <f t="shared" si="1146"/>
        <v>1.5786666666666667</v>
      </c>
      <c r="BE448" s="957">
        <f t="shared" si="1146"/>
        <v>1.5786666666666667</v>
      </c>
      <c r="BF448" s="957">
        <f t="shared" si="1146"/>
        <v>1.5786666666666667</v>
      </c>
      <c r="BG448" s="957">
        <f t="shared" si="1146"/>
        <v>1.5786666666666667</v>
      </c>
      <c r="BH448" s="957">
        <f t="shared" si="1146"/>
        <v>1.5786666666666667</v>
      </c>
      <c r="BI448" s="957">
        <f t="shared" si="1146"/>
        <v>0.39466666666666667</v>
      </c>
      <c r="BJ448" s="957">
        <f t="shared" si="1146"/>
        <v>0</v>
      </c>
      <c r="BK448" s="957">
        <f t="shared" si="1146"/>
        <v>0</v>
      </c>
      <c r="BL448" s="948">
        <f t="shared" ref="BL448:BR451" si="1147">AT448*BC448</f>
        <v>39.782400000000003</v>
      </c>
      <c r="BM448" s="948">
        <f t="shared" si="1147"/>
        <v>26.521599999999999</v>
      </c>
      <c r="BN448" s="948">
        <f t="shared" si="1147"/>
        <v>28.491776000000002</v>
      </c>
      <c r="BO448" s="948">
        <f t="shared" si="1147"/>
        <v>28.491776000000002</v>
      </c>
      <c r="BP448" s="948">
        <f t="shared" si="1147"/>
        <v>39.782400000000003</v>
      </c>
      <c r="BQ448" s="948">
        <f t="shared" si="1147"/>
        <v>26.521599999999999</v>
      </c>
      <c r="BR448" s="948">
        <f t="shared" si="1147"/>
        <v>49.208618666666666</v>
      </c>
      <c r="BS448" s="948">
        <f>BB448*BK448</f>
        <v>0</v>
      </c>
      <c r="BT448" s="955">
        <f>SUM(BL448:BS448)/K448</f>
        <v>187.73598322851154</v>
      </c>
    </row>
    <row r="449" spans="1:72">
      <c r="A449" s="952">
        <v>9</v>
      </c>
      <c r="B449" s="952" t="s">
        <v>1180</v>
      </c>
      <c r="C449" s="950" t="s">
        <v>1127</v>
      </c>
      <c r="D449" s="950">
        <v>1</v>
      </c>
      <c r="E449" s="950">
        <v>1</v>
      </c>
      <c r="F449" s="948">
        <v>8.4</v>
      </c>
      <c r="G449" s="948">
        <v>0.3</v>
      </c>
      <c r="H449" s="948">
        <v>0.65</v>
      </c>
      <c r="I449" s="948">
        <v>0.12</v>
      </c>
      <c r="J449" s="948">
        <f t="shared" si="1122"/>
        <v>0.53</v>
      </c>
      <c r="K449" s="948">
        <f t="shared" si="1123"/>
        <v>1.3356000000000001</v>
      </c>
      <c r="L449" s="948">
        <f t="shared" si="1124"/>
        <v>8.9040000000000017</v>
      </c>
      <c r="M449" s="952"/>
      <c r="N449" s="950">
        <v>16</v>
      </c>
      <c r="O449" s="950">
        <v>16</v>
      </c>
      <c r="P449" s="950">
        <v>16</v>
      </c>
      <c r="Q449" s="950">
        <v>16</v>
      </c>
      <c r="R449" s="950">
        <v>16</v>
      </c>
      <c r="S449" s="950">
        <v>16</v>
      </c>
      <c r="T449" s="950">
        <v>8</v>
      </c>
      <c r="U449" s="950"/>
      <c r="V449" s="950"/>
      <c r="W449" s="950">
        <v>200</v>
      </c>
      <c r="X449" s="950">
        <v>100</v>
      </c>
      <c r="Y449" s="950">
        <v>100</v>
      </c>
      <c r="Z449" s="950">
        <v>9</v>
      </c>
      <c r="AA449" s="950">
        <v>6</v>
      </c>
      <c r="AB449" s="950">
        <v>4</v>
      </c>
      <c r="AC449" s="950">
        <v>4</v>
      </c>
      <c r="AD449" s="950">
        <v>9</v>
      </c>
      <c r="AE449" s="950">
        <v>6</v>
      </c>
      <c r="AF449" s="955">
        <f t="shared" si="1125"/>
        <v>11.5</v>
      </c>
      <c r="AG449" s="955">
        <f t="shared" si="1126"/>
        <v>43</v>
      </c>
      <c r="AH449" s="955">
        <f t="shared" si="1127"/>
        <v>22</v>
      </c>
      <c r="AI449" s="955">
        <v>0</v>
      </c>
      <c r="AJ449" s="955">
        <v>0</v>
      </c>
      <c r="AK449" s="948">
        <f t="shared" si="1128"/>
        <v>2.9000000000000004</v>
      </c>
      <c r="AL449" s="948">
        <f t="shared" si="1129"/>
        <v>2.9000000000000004</v>
      </c>
      <c r="AM449" s="948">
        <f t="shared" si="1130"/>
        <v>4.7120000000000006</v>
      </c>
      <c r="AN449" s="948">
        <f t="shared" si="1131"/>
        <v>4.7120000000000006</v>
      </c>
      <c r="AO449" s="948">
        <f t="shared" si="1132"/>
        <v>2.9000000000000004</v>
      </c>
      <c r="AP449" s="948">
        <f t="shared" si="1133"/>
        <v>2.9000000000000004</v>
      </c>
      <c r="AQ449" s="948">
        <f t="shared" si="1134"/>
        <v>1.708</v>
      </c>
      <c r="AR449" s="948">
        <f t="shared" si="1135"/>
        <v>0</v>
      </c>
      <c r="AS449" s="948">
        <f t="shared" si="1136"/>
        <v>0</v>
      </c>
      <c r="AT449" s="948">
        <f t="shared" si="1137"/>
        <v>26.1</v>
      </c>
      <c r="AU449" s="948">
        <f t="shared" si="1138"/>
        <v>17.400000000000002</v>
      </c>
      <c r="AV449" s="948">
        <f t="shared" si="1139"/>
        <v>18.848000000000003</v>
      </c>
      <c r="AW449" s="948">
        <f t="shared" si="1140"/>
        <v>18.848000000000003</v>
      </c>
      <c r="AX449" s="948">
        <f t="shared" si="1141"/>
        <v>26.1</v>
      </c>
      <c r="AY449" s="948">
        <f t="shared" si="1142"/>
        <v>17.400000000000002</v>
      </c>
      <c r="AZ449" s="948">
        <f t="shared" si="1143"/>
        <v>130.66200000000001</v>
      </c>
      <c r="BA449" s="948">
        <f t="shared" si="1144"/>
        <v>0</v>
      </c>
      <c r="BB449" s="948">
        <f t="shared" si="1145"/>
        <v>0</v>
      </c>
      <c r="BC449" s="957">
        <f t="shared" si="1146"/>
        <v>1.5786666666666667</v>
      </c>
      <c r="BD449" s="957">
        <f t="shared" si="1146"/>
        <v>1.5786666666666667</v>
      </c>
      <c r="BE449" s="957">
        <f t="shared" si="1146"/>
        <v>1.5786666666666667</v>
      </c>
      <c r="BF449" s="957">
        <f t="shared" si="1146"/>
        <v>1.5786666666666667</v>
      </c>
      <c r="BG449" s="957">
        <f t="shared" si="1146"/>
        <v>1.5786666666666667</v>
      </c>
      <c r="BH449" s="957">
        <f t="shared" si="1146"/>
        <v>1.5786666666666667</v>
      </c>
      <c r="BI449" s="957">
        <f t="shared" si="1146"/>
        <v>0.39466666666666667</v>
      </c>
      <c r="BJ449" s="957">
        <f t="shared" si="1146"/>
        <v>0</v>
      </c>
      <c r="BK449" s="957">
        <f t="shared" si="1146"/>
        <v>0</v>
      </c>
      <c r="BL449" s="948">
        <f t="shared" si="1147"/>
        <v>41.203200000000002</v>
      </c>
      <c r="BM449" s="948">
        <f t="shared" si="1147"/>
        <v>27.468800000000002</v>
      </c>
      <c r="BN449" s="948">
        <f t="shared" si="1147"/>
        <v>29.754709333333338</v>
      </c>
      <c r="BO449" s="948">
        <f t="shared" si="1147"/>
        <v>29.754709333333338</v>
      </c>
      <c r="BP449" s="948">
        <f t="shared" si="1147"/>
        <v>41.203200000000002</v>
      </c>
      <c r="BQ449" s="948">
        <f t="shared" si="1147"/>
        <v>27.468800000000002</v>
      </c>
      <c r="BR449" s="948">
        <f t="shared" si="1147"/>
        <v>51.567936000000003</v>
      </c>
      <c r="BS449" s="948">
        <f>BB449*BK449</f>
        <v>0</v>
      </c>
      <c r="BT449" s="955">
        <f>SUM(BL449:BS449)/K449</f>
        <v>185.99981631226916</v>
      </c>
    </row>
    <row r="450" spans="1:72">
      <c r="A450" s="952">
        <v>10</v>
      </c>
      <c r="B450" s="952" t="s">
        <v>1194</v>
      </c>
      <c r="C450" s="950" t="s">
        <v>1195</v>
      </c>
      <c r="D450" s="950">
        <v>1</v>
      </c>
      <c r="E450" s="950">
        <v>1</v>
      </c>
      <c r="F450" s="948">
        <v>12</v>
      </c>
      <c r="G450" s="948">
        <v>0.35</v>
      </c>
      <c r="H450" s="948">
        <v>0.8</v>
      </c>
      <c r="I450" s="948">
        <v>0.12</v>
      </c>
      <c r="J450" s="948">
        <f t="shared" si="1122"/>
        <v>0.68</v>
      </c>
      <c r="K450" s="948">
        <f t="shared" si="1123"/>
        <v>2.8559999999999999</v>
      </c>
      <c r="L450" s="948">
        <f t="shared" si="1124"/>
        <v>16.32</v>
      </c>
      <c r="M450" s="952"/>
      <c r="N450" s="950">
        <v>25</v>
      </c>
      <c r="O450" s="950">
        <v>25</v>
      </c>
      <c r="P450" s="950">
        <v>25</v>
      </c>
      <c r="Q450" s="950">
        <v>25</v>
      </c>
      <c r="R450" s="950">
        <v>25</v>
      </c>
      <c r="S450" s="950">
        <v>25</v>
      </c>
      <c r="T450" s="950">
        <v>8</v>
      </c>
      <c r="U450" s="950"/>
      <c r="V450" s="950"/>
      <c r="W450" s="950">
        <v>200</v>
      </c>
      <c r="X450" s="950">
        <v>100</v>
      </c>
      <c r="Y450" s="950">
        <v>100</v>
      </c>
      <c r="Z450" s="950">
        <v>9</v>
      </c>
      <c r="AA450" s="950">
        <v>6</v>
      </c>
      <c r="AB450" s="950">
        <v>4</v>
      </c>
      <c r="AC450" s="950">
        <v>4</v>
      </c>
      <c r="AD450" s="950">
        <v>9</v>
      </c>
      <c r="AE450" s="950">
        <v>6</v>
      </c>
      <c r="AF450" s="955">
        <f t="shared" si="1125"/>
        <v>16</v>
      </c>
      <c r="AG450" s="955">
        <f t="shared" si="1126"/>
        <v>61</v>
      </c>
      <c r="AH450" s="955">
        <f t="shared" si="1127"/>
        <v>31</v>
      </c>
      <c r="AI450" s="955">
        <v>0</v>
      </c>
      <c r="AJ450" s="955">
        <v>0</v>
      </c>
      <c r="AK450" s="948">
        <f t="shared" si="1128"/>
        <v>4.25</v>
      </c>
      <c r="AL450" s="948">
        <f t="shared" si="1129"/>
        <v>4.25</v>
      </c>
      <c r="AM450" s="948">
        <f t="shared" si="1130"/>
        <v>6.8</v>
      </c>
      <c r="AN450" s="948">
        <f t="shared" si="1131"/>
        <v>6.8</v>
      </c>
      <c r="AO450" s="948">
        <f t="shared" si="1132"/>
        <v>4.25</v>
      </c>
      <c r="AP450" s="948">
        <f t="shared" si="1133"/>
        <v>4.25</v>
      </c>
      <c r="AQ450" s="948">
        <f t="shared" si="1134"/>
        <v>2.1079999999999997</v>
      </c>
      <c r="AR450" s="948">
        <f t="shared" si="1135"/>
        <v>0</v>
      </c>
      <c r="AS450" s="948">
        <f t="shared" si="1136"/>
        <v>0</v>
      </c>
      <c r="AT450" s="948">
        <f t="shared" si="1137"/>
        <v>38.25</v>
      </c>
      <c r="AU450" s="948">
        <f t="shared" si="1138"/>
        <v>25.5</v>
      </c>
      <c r="AV450" s="948">
        <f t="shared" si="1139"/>
        <v>27.2</v>
      </c>
      <c r="AW450" s="948">
        <f t="shared" si="1140"/>
        <v>27.2</v>
      </c>
      <c r="AX450" s="948">
        <f t="shared" si="1141"/>
        <v>38.25</v>
      </c>
      <c r="AY450" s="948">
        <f t="shared" si="1142"/>
        <v>25.5</v>
      </c>
      <c r="AZ450" s="948">
        <f t="shared" si="1143"/>
        <v>227.66399999999996</v>
      </c>
      <c r="BA450" s="948">
        <f t="shared" si="1144"/>
        <v>0</v>
      </c>
      <c r="BB450" s="948">
        <f t="shared" si="1145"/>
        <v>0</v>
      </c>
      <c r="BC450" s="957">
        <f t="shared" si="1146"/>
        <v>3.8541666666666665</v>
      </c>
      <c r="BD450" s="957">
        <f t="shared" si="1146"/>
        <v>3.8541666666666665</v>
      </c>
      <c r="BE450" s="957">
        <f t="shared" si="1146"/>
        <v>3.8541666666666665</v>
      </c>
      <c r="BF450" s="957">
        <f t="shared" si="1146"/>
        <v>3.8541666666666665</v>
      </c>
      <c r="BG450" s="957">
        <f t="shared" si="1146"/>
        <v>3.8541666666666665</v>
      </c>
      <c r="BH450" s="957">
        <f t="shared" si="1146"/>
        <v>3.8541666666666665</v>
      </c>
      <c r="BI450" s="957">
        <f t="shared" si="1146"/>
        <v>0.39466666666666667</v>
      </c>
      <c r="BJ450" s="957">
        <f t="shared" si="1146"/>
        <v>0</v>
      </c>
      <c r="BK450" s="957">
        <f t="shared" si="1146"/>
        <v>0</v>
      </c>
      <c r="BL450" s="948">
        <f t="shared" si="1147"/>
        <v>147.421875</v>
      </c>
      <c r="BM450" s="948">
        <f t="shared" si="1147"/>
        <v>98.28125</v>
      </c>
      <c r="BN450" s="948">
        <f t="shared" si="1147"/>
        <v>104.83333333333333</v>
      </c>
      <c r="BO450" s="948">
        <f t="shared" si="1147"/>
        <v>104.83333333333333</v>
      </c>
      <c r="BP450" s="948">
        <f t="shared" si="1147"/>
        <v>147.421875</v>
      </c>
      <c r="BQ450" s="948">
        <f t="shared" si="1147"/>
        <v>98.28125</v>
      </c>
      <c r="BR450" s="948">
        <f t="shared" si="1147"/>
        <v>89.85139199999999</v>
      </c>
      <c r="BS450" s="948">
        <f>BB450*BK450</f>
        <v>0</v>
      </c>
      <c r="BT450" s="955">
        <f>SUM(BL450:BS450)/K450</f>
        <v>276.93428174603173</v>
      </c>
    </row>
    <row r="451" spans="1:72">
      <c r="A451" s="952">
        <v>11</v>
      </c>
      <c r="B451" s="952" t="s">
        <v>1196</v>
      </c>
      <c r="C451" s="950" t="s">
        <v>1197</v>
      </c>
      <c r="D451" s="950">
        <v>1</v>
      </c>
      <c r="E451" s="950">
        <v>1</v>
      </c>
      <c r="F451" s="948">
        <v>16</v>
      </c>
      <c r="G451" s="948">
        <v>0.3</v>
      </c>
      <c r="H451" s="948">
        <v>0.7</v>
      </c>
      <c r="I451" s="948">
        <v>0.12</v>
      </c>
      <c r="J451" s="948">
        <f t="shared" si="1122"/>
        <v>0.57999999999999996</v>
      </c>
      <c r="K451" s="948">
        <f t="shared" si="1123"/>
        <v>2.7839999999999998</v>
      </c>
      <c r="L451" s="948">
        <f t="shared" si="1124"/>
        <v>18.559999999999999</v>
      </c>
      <c r="M451" s="952"/>
      <c r="N451" s="950">
        <v>16</v>
      </c>
      <c r="O451" s="950">
        <v>16</v>
      </c>
      <c r="P451" s="950">
        <v>16</v>
      </c>
      <c r="Q451" s="950">
        <v>16</v>
      </c>
      <c r="R451" s="950">
        <v>16</v>
      </c>
      <c r="S451" s="950">
        <v>16</v>
      </c>
      <c r="T451" s="950">
        <v>8</v>
      </c>
      <c r="U451" s="950"/>
      <c r="V451" s="950"/>
      <c r="W451" s="950">
        <v>200</v>
      </c>
      <c r="X451" s="950">
        <v>100</v>
      </c>
      <c r="Y451" s="950">
        <v>100</v>
      </c>
      <c r="Z451" s="950">
        <v>9</v>
      </c>
      <c r="AA451" s="950">
        <v>6</v>
      </c>
      <c r="AB451" s="950">
        <v>4</v>
      </c>
      <c r="AC451" s="950">
        <v>4</v>
      </c>
      <c r="AD451" s="950">
        <v>9</v>
      </c>
      <c r="AE451" s="950">
        <v>6</v>
      </c>
      <c r="AF451" s="955">
        <f t="shared" si="1125"/>
        <v>21</v>
      </c>
      <c r="AG451" s="955">
        <f t="shared" si="1126"/>
        <v>81</v>
      </c>
      <c r="AH451" s="955">
        <f t="shared" si="1127"/>
        <v>41</v>
      </c>
      <c r="AI451" s="955">
        <v>0</v>
      </c>
      <c r="AJ451" s="955">
        <v>0</v>
      </c>
      <c r="AK451" s="948">
        <f t="shared" si="1128"/>
        <v>4.8000000000000007</v>
      </c>
      <c r="AL451" s="948">
        <f t="shared" si="1129"/>
        <v>4.8000000000000007</v>
      </c>
      <c r="AM451" s="948">
        <f t="shared" si="1130"/>
        <v>8.5120000000000005</v>
      </c>
      <c r="AN451" s="948">
        <f t="shared" si="1131"/>
        <v>8.5120000000000005</v>
      </c>
      <c r="AO451" s="948">
        <f t="shared" si="1132"/>
        <v>4.8000000000000007</v>
      </c>
      <c r="AP451" s="948">
        <f t="shared" si="1133"/>
        <v>4.8000000000000007</v>
      </c>
      <c r="AQ451" s="948">
        <f t="shared" si="1134"/>
        <v>1.8080000000000001</v>
      </c>
      <c r="AR451" s="948">
        <f t="shared" si="1135"/>
        <v>0</v>
      </c>
      <c r="AS451" s="948">
        <f t="shared" si="1136"/>
        <v>0</v>
      </c>
      <c r="AT451" s="948">
        <f t="shared" si="1137"/>
        <v>43.2</v>
      </c>
      <c r="AU451" s="948">
        <f t="shared" si="1138"/>
        <v>28.800000000000004</v>
      </c>
      <c r="AV451" s="948">
        <f t="shared" si="1139"/>
        <v>34.048000000000002</v>
      </c>
      <c r="AW451" s="948">
        <f t="shared" si="1140"/>
        <v>34.048000000000002</v>
      </c>
      <c r="AX451" s="948">
        <f t="shared" si="1141"/>
        <v>43.2</v>
      </c>
      <c r="AY451" s="948">
        <f t="shared" si="1142"/>
        <v>28.800000000000004</v>
      </c>
      <c r="AZ451" s="948">
        <f t="shared" si="1143"/>
        <v>258.54399999999998</v>
      </c>
      <c r="BA451" s="948">
        <f t="shared" si="1144"/>
        <v>0</v>
      </c>
      <c r="BB451" s="948">
        <f t="shared" si="1145"/>
        <v>0</v>
      </c>
      <c r="BC451" s="957">
        <f t="shared" si="1146"/>
        <v>1.5786666666666667</v>
      </c>
      <c r="BD451" s="957">
        <f t="shared" si="1146"/>
        <v>1.5786666666666667</v>
      </c>
      <c r="BE451" s="957">
        <f t="shared" si="1146"/>
        <v>1.5786666666666667</v>
      </c>
      <c r="BF451" s="957">
        <f t="shared" si="1146"/>
        <v>1.5786666666666667</v>
      </c>
      <c r="BG451" s="957">
        <f t="shared" si="1146"/>
        <v>1.5786666666666667</v>
      </c>
      <c r="BH451" s="957">
        <f t="shared" si="1146"/>
        <v>1.5786666666666667</v>
      </c>
      <c r="BI451" s="957">
        <f t="shared" si="1146"/>
        <v>0.39466666666666667</v>
      </c>
      <c r="BJ451" s="957">
        <f t="shared" si="1146"/>
        <v>0</v>
      </c>
      <c r="BK451" s="957">
        <f t="shared" si="1146"/>
        <v>0</v>
      </c>
      <c r="BL451" s="948">
        <f t="shared" si="1147"/>
        <v>68.198400000000007</v>
      </c>
      <c r="BM451" s="948">
        <f t="shared" si="1147"/>
        <v>45.465600000000009</v>
      </c>
      <c r="BN451" s="948">
        <f t="shared" si="1147"/>
        <v>53.750442666666672</v>
      </c>
      <c r="BO451" s="948">
        <f t="shared" si="1147"/>
        <v>53.750442666666672</v>
      </c>
      <c r="BP451" s="948">
        <f t="shared" si="1147"/>
        <v>68.198400000000007</v>
      </c>
      <c r="BQ451" s="948">
        <f t="shared" si="1147"/>
        <v>45.465600000000009</v>
      </c>
      <c r="BR451" s="948">
        <f t="shared" si="1147"/>
        <v>102.03869866666666</v>
      </c>
      <c r="BS451" s="948">
        <f>BB451*BK451</f>
        <v>0</v>
      </c>
      <c r="BT451" s="955">
        <f>SUM(BL451:BS451)/K451</f>
        <v>156.92082758620691</v>
      </c>
    </row>
    <row r="452" spans="1:72">
      <c r="A452" s="952"/>
      <c r="B452" s="952"/>
      <c r="C452" s="950"/>
      <c r="D452" s="950"/>
      <c r="E452" s="950"/>
      <c r="F452" s="948"/>
      <c r="G452" s="948"/>
      <c r="H452" s="948"/>
      <c r="I452" s="948"/>
      <c r="J452" s="948"/>
      <c r="K452" s="948">
        <f>SUM(K433:K451)</f>
        <v>68.524200000000022</v>
      </c>
      <c r="L452" s="948">
        <f>SUM(L433:L451)</f>
        <v>484.51200000000006</v>
      </c>
      <c r="M452" s="952"/>
      <c r="N452" s="950"/>
      <c r="O452" s="950"/>
      <c r="P452" s="950"/>
      <c r="Q452" s="950"/>
      <c r="R452" s="950"/>
      <c r="S452" s="950"/>
      <c r="T452" s="950"/>
      <c r="U452" s="950"/>
      <c r="V452" s="950"/>
      <c r="W452" s="950"/>
      <c r="X452" s="950"/>
      <c r="Y452" s="950"/>
      <c r="Z452" s="950"/>
      <c r="AA452" s="950"/>
      <c r="AB452" s="950"/>
      <c r="AC452" s="950"/>
      <c r="AD452" s="950"/>
      <c r="AE452" s="950"/>
      <c r="AF452" s="955"/>
      <c r="AG452" s="955"/>
      <c r="AH452" s="955"/>
      <c r="AI452" s="955"/>
      <c r="AJ452" s="955"/>
      <c r="AK452" s="948"/>
      <c r="AL452" s="948"/>
      <c r="AM452" s="948"/>
      <c r="AN452" s="948"/>
      <c r="AO452" s="948"/>
      <c r="AP452" s="948"/>
      <c r="AQ452" s="948"/>
      <c r="AR452" s="948"/>
      <c r="AS452" s="948"/>
      <c r="AT452" s="948"/>
      <c r="AU452" s="948"/>
      <c r="AV452" s="948"/>
      <c r="AW452" s="948"/>
      <c r="AX452" s="948"/>
      <c r="AY452" s="948"/>
      <c r="AZ452" s="948"/>
      <c r="BA452" s="948"/>
      <c r="BB452" s="948"/>
      <c r="BC452" s="957"/>
      <c r="BD452" s="957"/>
      <c r="BE452" s="957"/>
      <c r="BF452" s="957"/>
      <c r="BG452" s="957"/>
      <c r="BH452" s="957"/>
      <c r="BI452" s="957"/>
      <c r="BJ452" s="957"/>
      <c r="BK452" s="957"/>
      <c r="BL452" s="948"/>
      <c r="BM452" s="948"/>
      <c r="BN452" s="948"/>
      <c r="BO452" s="948"/>
      <c r="BP452" s="948"/>
      <c r="BQ452" s="948"/>
      <c r="BR452" s="948"/>
      <c r="BS452" s="948"/>
      <c r="BT452" s="955"/>
    </row>
    <row r="453" spans="1:72">
      <c r="A453" s="949" t="s">
        <v>66</v>
      </c>
      <c r="B453" s="949" t="s">
        <v>1050</v>
      </c>
      <c r="C453" s="949" t="s">
        <v>983</v>
      </c>
      <c r="D453" s="950" t="s">
        <v>1051</v>
      </c>
      <c r="E453" s="950" t="s">
        <v>1052</v>
      </c>
      <c r="F453" s="951" t="s">
        <v>984</v>
      </c>
      <c r="G453" s="951"/>
      <c r="H453" s="951"/>
      <c r="I453" s="948" t="s">
        <v>985</v>
      </c>
      <c r="J453" s="948" t="s">
        <v>1053</v>
      </c>
      <c r="K453" s="948" t="s">
        <v>392</v>
      </c>
      <c r="L453" s="948" t="s">
        <v>377</v>
      </c>
      <c r="M453" s="952"/>
      <c r="N453" s="949" t="s">
        <v>1054</v>
      </c>
      <c r="O453" s="949"/>
      <c r="P453" s="949"/>
      <c r="Q453" s="949"/>
      <c r="R453" s="949"/>
      <c r="S453" s="949"/>
      <c r="T453" s="949" t="s">
        <v>1055</v>
      </c>
      <c r="U453" s="949"/>
      <c r="V453" s="949"/>
      <c r="W453" s="949" t="s">
        <v>989</v>
      </c>
      <c r="X453" s="949"/>
      <c r="Y453" s="949"/>
      <c r="Z453" s="949" t="s">
        <v>1056</v>
      </c>
      <c r="AA453" s="949"/>
      <c r="AB453" s="949"/>
      <c r="AC453" s="949"/>
      <c r="AD453" s="949"/>
      <c r="AE453" s="949"/>
      <c r="AF453" s="953" t="s">
        <v>1057</v>
      </c>
      <c r="AG453" s="953"/>
      <c r="AH453" s="953"/>
      <c r="AI453" s="953"/>
      <c r="AJ453" s="953"/>
      <c r="AK453" s="951" t="s">
        <v>1058</v>
      </c>
      <c r="AL453" s="951"/>
      <c r="AM453" s="951"/>
      <c r="AN453" s="951"/>
      <c r="AO453" s="951"/>
      <c r="AP453" s="951"/>
      <c r="AQ453" s="951" t="s">
        <v>1059</v>
      </c>
      <c r="AR453" s="951"/>
      <c r="AS453" s="951"/>
      <c r="AT453" s="951" t="s">
        <v>1060</v>
      </c>
      <c r="AU453" s="951"/>
      <c r="AV453" s="951"/>
      <c r="AW453" s="951"/>
      <c r="AX453" s="951"/>
      <c r="AY453" s="951"/>
      <c r="AZ453" s="951" t="s">
        <v>1061</v>
      </c>
      <c r="BA453" s="951"/>
      <c r="BB453" s="951"/>
      <c r="BC453" s="954" t="s">
        <v>1062</v>
      </c>
      <c r="BD453" s="954"/>
      <c r="BE453" s="954"/>
      <c r="BF453" s="954"/>
      <c r="BG453" s="954"/>
      <c r="BH453" s="954"/>
      <c r="BI453" s="954" t="s">
        <v>996</v>
      </c>
      <c r="BJ453" s="954"/>
      <c r="BK453" s="954"/>
      <c r="BL453" s="951" t="s">
        <v>997</v>
      </c>
      <c r="BM453" s="951"/>
      <c r="BN453" s="951"/>
      <c r="BO453" s="951"/>
      <c r="BP453" s="951"/>
      <c r="BQ453" s="951"/>
      <c r="BR453" s="951"/>
      <c r="BS453" s="951"/>
      <c r="BT453" s="955" t="s">
        <v>998</v>
      </c>
    </row>
    <row r="454" spans="1:72">
      <c r="A454" s="949"/>
      <c r="B454" s="949"/>
      <c r="C454" s="949"/>
      <c r="D454" s="949" t="s">
        <v>1063</v>
      </c>
      <c r="E454" s="949" t="s">
        <v>391</v>
      </c>
      <c r="F454" s="948" t="s">
        <v>999</v>
      </c>
      <c r="G454" s="948" t="s">
        <v>1000</v>
      </c>
      <c r="H454" s="948" t="s">
        <v>1001</v>
      </c>
      <c r="I454" s="948" t="s">
        <v>1002</v>
      </c>
      <c r="J454" s="948" t="s">
        <v>1003</v>
      </c>
      <c r="K454" s="951" t="s">
        <v>1064</v>
      </c>
      <c r="L454" s="948"/>
      <c r="M454" s="952"/>
      <c r="N454" s="949" t="s">
        <v>1001</v>
      </c>
      <c r="O454" s="949"/>
      <c r="P454" s="949" t="s">
        <v>1000</v>
      </c>
      <c r="Q454" s="949"/>
      <c r="R454" s="949" t="s">
        <v>1001</v>
      </c>
      <c r="S454" s="949"/>
      <c r="T454" s="950" t="s">
        <v>1007</v>
      </c>
      <c r="U454" s="949" t="s">
        <v>1005</v>
      </c>
      <c r="V454" s="949"/>
      <c r="W454" s="949"/>
      <c r="X454" s="949" t="s">
        <v>1000</v>
      </c>
      <c r="Y454" s="949" t="s">
        <v>1001</v>
      </c>
      <c r="Z454" s="949" t="s">
        <v>1001</v>
      </c>
      <c r="AA454" s="949"/>
      <c r="AB454" s="949" t="s">
        <v>1000</v>
      </c>
      <c r="AC454" s="949"/>
      <c r="AD454" s="949" t="s">
        <v>1001</v>
      </c>
      <c r="AE454" s="949"/>
      <c r="AF454" s="953" t="s">
        <v>1004</v>
      </c>
      <c r="AG454" s="953"/>
      <c r="AH454" s="953"/>
      <c r="AI454" s="953" t="s">
        <v>1065</v>
      </c>
      <c r="AJ454" s="953"/>
      <c r="AK454" s="951" t="s">
        <v>1001</v>
      </c>
      <c r="AL454" s="951"/>
      <c r="AM454" s="951" t="s">
        <v>1000</v>
      </c>
      <c r="AN454" s="951"/>
      <c r="AO454" s="951" t="s">
        <v>1001</v>
      </c>
      <c r="AP454" s="951"/>
      <c r="AQ454" s="951" t="s">
        <v>1004</v>
      </c>
      <c r="AR454" s="951" t="s">
        <v>1005</v>
      </c>
      <c r="AS454" s="951"/>
      <c r="AT454" s="951" t="s">
        <v>1066</v>
      </c>
      <c r="AU454" s="951"/>
      <c r="AV454" s="951" t="s">
        <v>1000</v>
      </c>
      <c r="AW454" s="951"/>
      <c r="AX454" s="951" t="s">
        <v>1001</v>
      </c>
      <c r="AY454" s="951"/>
      <c r="AZ454" s="951" t="s">
        <v>1004</v>
      </c>
      <c r="BA454" s="951" t="s">
        <v>1005</v>
      </c>
      <c r="BB454" s="951"/>
      <c r="BC454" s="953" t="s">
        <v>1001</v>
      </c>
      <c r="BD454" s="953"/>
      <c r="BE454" s="953" t="s">
        <v>1000</v>
      </c>
      <c r="BF454" s="953"/>
      <c r="BG454" s="951" t="s">
        <v>1001</v>
      </c>
      <c r="BH454" s="951"/>
      <c r="BI454" s="956" t="s">
        <v>1004</v>
      </c>
      <c r="BJ454" s="954" t="s">
        <v>1005</v>
      </c>
      <c r="BK454" s="954"/>
      <c r="BL454" s="951" t="s">
        <v>1006</v>
      </c>
      <c r="BM454" s="951"/>
      <c r="BN454" s="951"/>
      <c r="BO454" s="951"/>
      <c r="BP454" s="951"/>
      <c r="BQ454" s="951"/>
      <c r="BR454" s="951" t="s">
        <v>1067</v>
      </c>
      <c r="BS454" s="951"/>
      <c r="BT454" s="953" t="s">
        <v>1068</v>
      </c>
    </row>
    <row r="455" spans="1:72">
      <c r="A455" s="949"/>
      <c r="B455" s="949"/>
      <c r="C455" s="949" t="s">
        <v>391</v>
      </c>
      <c r="D455" s="949"/>
      <c r="E455" s="949"/>
      <c r="F455" s="948" t="s">
        <v>1069</v>
      </c>
      <c r="G455" s="948" t="s">
        <v>1069</v>
      </c>
      <c r="H455" s="948" t="s">
        <v>1069</v>
      </c>
      <c r="I455" s="948" t="s">
        <v>1069</v>
      </c>
      <c r="J455" s="948" t="s">
        <v>1069</v>
      </c>
      <c r="K455" s="951"/>
      <c r="L455" s="948" t="s">
        <v>1070</v>
      </c>
      <c r="M455" s="952"/>
      <c r="N455" s="949"/>
      <c r="O455" s="949"/>
      <c r="P455" s="949"/>
      <c r="Q455" s="949"/>
      <c r="R455" s="949"/>
      <c r="S455" s="949"/>
      <c r="T455" s="950" t="s">
        <v>1071</v>
      </c>
      <c r="U455" s="950" t="s">
        <v>1012</v>
      </c>
      <c r="V455" s="950" t="s">
        <v>494</v>
      </c>
      <c r="W455" s="949"/>
      <c r="X455" s="949"/>
      <c r="Y455" s="949"/>
      <c r="Z455" s="949"/>
      <c r="AA455" s="949"/>
      <c r="AB455" s="949"/>
      <c r="AC455" s="949"/>
      <c r="AD455" s="949"/>
      <c r="AE455" s="949"/>
      <c r="AF455" s="955" t="s">
        <v>1001</v>
      </c>
      <c r="AG455" s="955" t="s">
        <v>1000</v>
      </c>
      <c r="AH455" s="955" t="s">
        <v>1001</v>
      </c>
      <c r="AI455" s="955" t="s">
        <v>1012</v>
      </c>
      <c r="AJ455" s="955" t="s">
        <v>494</v>
      </c>
      <c r="AK455" s="951"/>
      <c r="AL455" s="951"/>
      <c r="AM455" s="951"/>
      <c r="AN455" s="951"/>
      <c r="AO455" s="951"/>
      <c r="AP455" s="951"/>
      <c r="AQ455" s="951"/>
      <c r="AR455" s="948" t="s">
        <v>1012</v>
      </c>
      <c r="AS455" s="948" t="s">
        <v>494</v>
      </c>
      <c r="AT455" s="951"/>
      <c r="AU455" s="951"/>
      <c r="AV455" s="951"/>
      <c r="AW455" s="951"/>
      <c r="AX455" s="951"/>
      <c r="AY455" s="951"/>
      <c r="AZ455" s="951"/>
      <c r="BA455" s="948" t="s">
        <v>1012</v>
      </c>
      <c r="BB455" s="948" t="s">
        <v>494</v>
      </c>
      <c r="BC455" s="953"/>
      <c r="BD455" s="953"/>
      <c r="BE455" s="953"/>
      <c r="BF455" s="953"/>
      <c r="BG455" s="951"/>
      <c r="BH455" s="951"/>
      <c r="BI455" s="957"/>
      <c r="BJ455" s="957" t="s">
        <v>1012</v>
      </c>
      <c r="BK455" s="957" t="s">
        <v>494</v>
      </c>
      <c r="BL455" s="951" t="s">
        <v>1001</v>
      </c>
      <c r="BM455" s="951"/>
      <c r="BN455" s="951" t="s">
        <v>1000</v>
      </c>
      <c r="BO455" s="951"/>
      <c r="BP455" s="951" t="s">
        <v>1001</v>
      </c>
      <c r="BQ455" s="951"/>
      <c r="BR455" s="951" t="s">
        <v>1004</v>
      </c>
      <c r="BS455" s="948"/>
      <c r="BT455" s="953"/>
    </row>
    <row r="456" spans="1:72">
      <c r="A456" s="949"/>
      <c r="B456" s="949"/>
      <c r="C456" s="949"/>
      <c r="D456" s="950" t="s">
        <v>1072</v>
      </c>
      <c r="E456" s="950" t="s">
        <v>1073</v>
      </c>
      <c r="F456" s="948" t="s">
        <v>1074</v>
      </c>
      <c r="G456" s="948" t="s">
        <v>1075</v>
      </c>
      <c r="H456" s="948" t="s">
        <v>1076</v>
      </c>
      <c r="I456" s="948" t="s">
        <v>1077</v>
      </c>
      <c r="J456" s="948" t="s">
        <v>1078</v>
      </c>
      <c r="K456" s="948" t="s">
        <v>1079</v>
      </c>
      <c r="L456" s="948" t="s">
        <v>1080</v>
      </c>
      <c r="M456" s="952"/>
      <c r="N456" s="949" t="s">
        <v>1081</v>
      </c>
      <c r="O456" s="949"/>
      <c r="P456" s="949"/>
      <c r="Q456" s="949"/>
      <c r="R456" s="949"/>
      <c r="S456" s="949"/>
      <c r="T456" s="950" t="s">
        <v>1082</v>
      </c>
      <c r="U456" s="949" t="s">
        <v>1081</v>
      </c>
      <c r="V456" s="949"/>
      <c r="W456" s="949" t="s">
        <v>1081</v>
      </c>
      <c r="X456" s="949"/>
      <c r="Y456" s="949"/>
      <c r="Z456" s="949" t="s">
        <v>1082</v>
      </c>
      <c r="AA456" s="949"/>
      <c r="AB456" s="949"/>
      <c r="AC456" s="949"/>
      <c r="AD456" s="949"/>
      <c r="AE456" s="949"/>
      <c r="AF456" s="953" t="s">
        <v>1082</v>
      </c>
      <c r="AG456" s="953"/>
      <c r="AH456" s="953"/>
      <c r="AI456" s="953"/>
      <c r="AJ456" s="953"/>
      <c r="AK456" s="951" t="s">
        <v>1069</v>
      </c>
      <c r="AL456" s="951"/>
      <c r="AM456" s="951"/>
      <c r="AN456" s="951"/>
      <c r="AO456" s="951"/>
      <c r="AP456" s="951"/>
      <c r="AQ456" s="951"/>
      <c r="AR456" s="951"/>
      <c r="AS456" s="951"/>
      <c r="AT456" s="951"/>
      <c r="AU456" s="951"/>
      <c r="AV456" s="951"/>
      <c r="AW456" s="951"/>
      <c r="AX456" s="951"/>
      <c r="AY456" s="951"/>
      <c r="AZ456" s="951"/>
      <c r="BA456" s="951"/>
      <c r="BB456" s="951"/>
      <c r="BC456" s="954"/>
      <c r="BD456" s="954"/>
      <c r="BE456" s="954"/>
      <c r="BF456" s="954"/>
      <c r="BG456" s="954"/>
      <c r="BH456" s="954"/>
      <c r="BI456" s="954"/>
      <c r="BJ456" s="954"/>
      <c r="BK456" s="954"/>
      <c r="BL456" s="951"/>
      <c r="BM456" s="951"/>
      <c r="BN456" s="951"/>
      <c r="BO456" s="951"/>
      <c r="BP456" s="951"/>
      <c r="BQ456" s="951"/>
      <c r="BR456" s="951"/>
      <c r="BS456" s="948" t="s">
        <v>494</v>
      </c>
      <c r="BT456" s="953"/>
    </row>
    <row r="457" spans="1:72">
      <c r="A457" s="952"/>
      <c r="B457" s="952"/>
      <c r="C457" s="950"/>
      <c r="D457" s="950"/>
      <c r="E457" s="950"/>
      <c r="F457" s="948"/>
      <c r="G457" s="948"/>
      <c r="H457" s="948"/>
      <c r="I457" s="948"/>
      <c r="J457" s="948"/>
      <c r="K457" s="948"/>
      <c r="L457" s="948"/>
      <c r="M457" s="952"/>
      <c r="N457" s="950"/>
      <c r="O457" s="950"/>
      <c r="P457" s="950"/>
      <c r="Q457" s="950"/>
      <c r="R457" s="950"/>
      <c r="S457" s="950"/>
      <c r="T457" s="950"/>
      <c r="U457" s="950"/>
      <c r="V457" s="950"/>
      <c r="W457" s="950"/>
      <c r="X457" s="950"/>
      <c r="Y457" s="950"/>
      <c r="Z457" s="950"/>
      <c r="AA457" s="950"/>
      <c r="AB457" s="950"/>
      <c r="AC457" s="950"/>
      <c r="AD457" s="950"/>
      <c r="AE457" s="950"/>
      <c r="AF457" s="955"/>
      <c r="AG457" s="955"/>
      <c r="AH457" s="955"/>
      <c r="AI457" s="955"/>
      <c r="AJ457" s="955"/>
      <c r="AK457" s="948"/>
      <c r="AL457" s="948"/>
      <c r="AM457" s="948"/>
      <c r="AN457" s="948"/>
      <c r="AO457" s="948"/>
      <c r="AP457" s="948"/>
      <c r="AQ457" s="948"/>
      <c r="AR457" s="948"/>
      <c r="AS457" s="948"/>
      <c r="AT457" s="948"/>
      <c r="AU457" s="948"/>
      <c r="AV457" s="948"/>
      <c r="AW457" s="948"/>
      <c r="AX457" s="948"/>
      <c r="AY457" s="948"/>
      <c r="AZ457" s="948"/>
      <c r="BA457" s="948"/>
      <c r="BB457" s="948"/>
      <c r="BC457" s="957"/>
      <c r="BD457" s="957"/>
      <c r="BE457" s="957"/>
      <c r="BF457" s="957"/>
      <c r="BG457" s="957"/>
      <c r="BH457" s="957"/>
      <c r="BI457" s="957"/>
      <c r="BJ457" s="957"/>
      <c r="BK457" s="957"/>
      <c r="BL457" s="948"/>
      <c r="BM457" s="948"/>
      <c r="BN457" s="948"/>
      <c r="BO457" s="948"/>
      <c r="BP457" s="948"/>
      <c r="BQ457" s="948"/>
      <c r="BR457" s="948"/>
      <c r="BS457" s="948"/>
      <c r="BT457" s="955"/>
    </row>
    <row r="458" spans="1:72">
      <c r="A458" s="958" t="s">
        <v>1204</v>
      </c>
      <c r="B458" s="952"/>
      <c r="C458" s="950"/>
      <c r="D458" s="950"/>
      <c r="E458" s="950"/>
      <c r="F458" s="948"/>
      <c r="G458" s="948"/>
      <c r="H458" s="948"/>
      <c r="I458" s="948"/>
      <c r="J458" s="948"/>
      <c r="K458" s="948"/>
      <c r="L458" s="948"/>
      <c r="M458" s="952"/>
      <c r="N458" s="958" t="str">
        <f>A458</f>
        <v>Balok Lantai 15</v>
      </c>
      <c r="O458" s="950"/>
      <c r="P458" s="950"/>
      <c r="Q458" s="950"/>
      <c r="R458" s="950"/>
      <c r="S458" s="950"/>
      <c r="T458" s="950"/>
      <c r="U458" s="950"/>
      <c r="V458" s="950"/>
      <c r="W458" s="950"/>
      <c r="X458" s="950"/>
      <c r="Y458" s="950"/>
      <c r="Z458" s="950"/>
      <c r="AA458" s="950"/>
      <c r="AB458" s="950"/>
      <c r="AC458" s="950"/>
      <c r="AD458" s="950"/>
      <c r="AE458" s="950"/>
      <c r="AF458" s="955"/>
      <c r="AG458" s="955"/>
      <c r="AH458" s="955"/>
      <c r="AI458" s="955"/>
      <c r="AJ458" s="955"/>
      <c r="AK458" s="948"/>
      <c r="AL458" s="948"/>
      <c r="AM458" s="948"/>
      <c r="AN458" s="948"/>
      <c r="AO458" s="948"/>
      <c r="AP458" s="948"/>
      <c r="AQ458" s="948"/>
      <c r="AR458" s="948"/>
      <c r="AS458" s="948"/>
      <c r="AT458" s="948"/>
      <c r="AU458" s="948"/>
      <c r="AV458" s="948"/>
      <c r="AW458" s="948"/>
      <c r="AX458" s="948"/>
      <c r="AY458" s="948"/>
      <c r="AZ458" s="948"/>
      <c r="BA458" s="948"/>
      <c r="BB458" s="948"/>
      <c r="BC458" s="957"/>
      <c r="BD458" s="957"/>
      <c r="BE458" s="957"/>
      <c r="BF458" s="957"/>
      <c r="BG458" s="957"/>
      <c r="BH458" s="957"/>
      <c r="BI458" s="957"/>
      <c r="BJ458" s="957"/>
      <c r="BK458" s="957"/>
      <c r="BL458" s="948"/>
      <c r="BM458" s="948"/>
      <c r="BN458" s="948"/>
      <c r="BO458" s="948"/>
      <c r="BP458" s="948"/>
      <c r="BQ458" s="948"/>
      <c r="BR458" s="948"/>
      <c r="BS458" s="948"/>
      <c r="BT458" s="955"/>
    </row>
    <row r="459" spans="1:72">
      <c r="A459" s="960" t="s">
        <v>2</v>
      </c>
      <c r="B459" s="960" t="s">
        <v>1084</v>
      </c>
      <c r="C459" s="950"/>
      <c r="D459" s="950"/>
      <c r="E459" s="950"/>
      <c r="F459" s="948"/>
      <c r="G459" s="948"/>
      <c r="H459" s="948"/>
      <c r="I459" s="948"/>
      <c r="J459" s="948"/>
      <c r="K459" s="948"/>
      <c r="L459" s="948"/>
      <c r="M459" s="952"/>
      <c r="N459" s="959" t="str">
        <f>A459</f>
        <v>A</v>
      </c>
      <c r="O459" s="959" t="str">
        <f>B459</f>
        <v>Vertikal</v>
      </c>
      <c r="P459" s="950"/>
      <c r="Q459" s="950"/>
      <c r="R459" s="950"/>
      <c r="S459" s="950"/>
      <c r="T459" s="950"/>
      <c r="U459" s="950"/>
      <c r="V459" s="950"/>
      <c r="W459" s="950"/>
      <c r="X459" s="950"/>
      <c r="Y459" s="950"/>
      <c r="Z459" s="950"/>
      <c r="AA459" s="950"/>
      <c r="AB459" s="950"/>
      <c r="AC459" s="950"/>
      <c r="AD459" s="950"/>
      <c r="AE459" s="950"/>
      <c r="AF459" s="955"/>
      <c r="AG459" s="955"/>
      <c r="AH459" s="955"/>
      <c r="AI459" s="955"/>
      <c r="AJ459" s="955"/>
      <c r="AK459" s="948"/>
      <c r="AL459" s="948"/>
      <c r="AM459" s="948"/>
      <c r="AN459" s="948"/>
      <c r="AO459" s="948"/>
      <c r="AP459" s="948"/>
      <c r="AQ459" s="948"/>
      <c r="AR459" s="948"/>
      <c r="AS459" s="948"/>
      <c r="AT459" s="948"/>
      <c r="AU459" s="948"/>
      <c r="AV459" s="948"/>
      <c r="AW459" s="948"/>
      <c r="AX459" s="948"/>
      <c r="AY459" s="948"/>
      <c r="AZ459" s="948"/>
      <c r="BA459" s="948"/>
      <c r="BB459" s="948"/>
      <c r="BC459" s="957"/>
      <c r="BD459" s="957"/>
      <c r="BE459" s="957"/>
      <c r="BF459" s="957"/>
      <c r="BG459" s="957"/>
      <c r="BH459" s="957"/>
      <c r="BI459" s="957"/>
      <c r="BJ459" s="957"/>
      <c r="BK459" s="957"/>
      <c r="BL459" s="948"/>
      <c r="BM459" s="948"/>
      <c r="BN459" s="948"/>
      <c r="BO459" s="948"/>
      <c r="BP459" s="948"/>
      <c r="BQ459" s="948"/>
      <c r="BR459" s="948"/>
      <c r="BS459" s="948"/>
      <c r="BT459" s="955"/>
    </row>
    <row r="460" spans="1:72">
      <c r="A460" s="952">
        <v>1</v>
      </c>
      <c r="B460" s="952" t="s">
        <v>1161</v>
      </c>
      <c r="C460" s="950" t="s">
        <v>1185</v>
      </c>
      <c r="D460" s="950">
        <v>1</v>
      </c>
      <c r="E460" s="950">
        <v>1</v>
      </c>
      <c r="F460" s="948">
        <v>64</v>
      </c>
      <c r="G460" s="948">
        <v>0.3</v>
      </c>
      <c r="H460" s="948">
        <v>0.65</v>
      </c>
      <c r="I460" s="948">
        <v>0.12</v>
      </c>
      <c r="J460" s="948">
        <f t="shared" ref="J460" si="1148">H460-I460</f>
        <v>0.53</v>
      </c>
      <c r="K460" s="948">
        <f>F460*G460*J460*D460*E460</f>
        <v>10.176</v>
      </c>
      <c r="L460" s="948">
        <f>(2*J460)*F460*E460*D460</f>
        <v>67.84</v>
      </c>
      <c r="M460" s="952"/>
      <c r="N460" s="950">
        <v>19</v>
      </c>
      <c r="O460" s="950">
        <v>19</v>
      </c>
      <c r="P460" s="950">
        <v>19</v>
      </c>
      <c r="Q460" s="950">
        <v>19</v>
      </c>
      <c r="R460" s="950">
        <v>19</v>
      </c>
      <c r="S460" s="950">
        <v>19</v>
      </c>
      <c r="T460" s="950">
        <v>8</v>
      </c>
      <c r="U460" s="950"/>
      <c r="V460" s="950"/>
      <c r="W460" s="950">
        <v>200</v>
      </c>
      <c r="X460" s="950">
        <v>100</v>
      </c>
      <c r="Y460" s="950">
        <v>100</v>
      </c>
      <c r="Z460" s="950">
        <v>4</v>
      </c>
      <c r="AA460" s="950">
        <v>4</v>
      </c>
      <c r="AB460" s="950">
        <v>2</v>
      </c>
      <c r="AC460" s="950">
        <v>2</v>
      </c>
      <c r="AD460" s="950">
        <v>4</v>
      </c>
      <c r="AE460" s="950">
        <v>4</v>
      </c>
      <c r="AF460" s="955">
        <f t="shared" ref="AF460:AF464" si="1149">(F460/4)/(W460/1000)+1</f>
        <v>81</v>
      </c>
      <c r="AG460" s="955">
        <f t="shared" ref="AG460:AG464" si="1150">(F460/2)/(X460/1000)+1</f>
        <v>321</v>
      </c>
      <c r="AH460" s="955">
        <f t="shared" ref="AH460:AH464" si="1151">(F460/4)/(Y460/1000)+1</f>
        <v>161</v>
      </c>
      <c r="AI460" s="955">
        <v>0</v>
      </c>
      <c r="AJ460" s="955">
        <v>0</v>
      </c>
      <c r="AK460" s="948">
        <f t="shared" ref="AK460:AK464" si="1152">(F460/4)+(20*N460/1000)+(10*N460/1000)+(8*N460/1000)+(6*2*N460/1000)</f>
        <v>16.950000000000003</v>
      </c>
      <c r="AL460" s="948">
        <f t="shared" ref="AL460:AL464" si="1153">(F460/4)+(20*O460/1000)+(10*O460/1000)+(8*O460/1000)+(6*2*O460/1000)</f>
        <v>16.950000000000003</v>
      </c>
      <c r="AM460" s="948">
        <f t="shared" ref="AM460:AM464" si="1154">(F460/2)+(20*P460/1000)+(6*2*P460/1000)</f>
        <v>32.608000000000004</v>
      </c>
      <c r="AN460" s="948">
        <f t="shared" ref="AN460:AN464" si="1155">(F460/2)+(20*Q460/1000)+(6*2*Q460/1000)</f>
        <v>32.608000000000004</v>
      </c>
      <c r="AO460" s="948">
        <f t="shared" ref="AO460:AO464" si="1156">(F460/4)+(20*R460/1000)+(10*R460/1000)+(8*R460/1000)+(6*2*R460/1000)</f>
        <v>16.950000000000003</v>
      </c>
      <c r="AP460" s="948">
        <f t="shared" ref="AP460:AP464" si="1157">(F460/4)+(20*S460/1000)+(10*S460/1000)+(8*S460/1000)+(6*2*S460/1000)</f>
        <v>16.950000000000003</v>
      </c>
      <c r="AQ460" s="948">
        <f t="shared" ref="AQ460:AQ464" si="1158">(2*G460)+(2*H460)+(6*T460/1000)-(8*0.03)</f>
        <v>1.708</v>
      </c>
      <c r="AR460" s="948">
        <f t="shared" ref="AR460:AR464" si="1159">((H460)+(2*6*U460/1000)-(2*0.03))*AI460</f>
        <v>0</v>
      </c>
      <c r="AS460" s="948">
        <f t="shared" ref="AS460:AS464" si="1160">((G460)+(2*6*V460/1000)-(2*0.03))*AJ460</f>
        <v>0</v>
      </c>
      <c r="AT460" s="948">
        <f t="shared" ref="AT460:AT464" si="1161">AK460*Z460*E460*D460</f>
        <v>67.800000000000011</v>
      </c>
      <c r="AU460" s="948">
        <f t="shared" ref="AU460:AU464" si="1162">AL460*AA460*E460*D460</f>
        <v>67.800000000000011</v>
      </c>
      <c r="AV460" s="948">
        <f t="shared" ref="AV460:AV464" si="1163">AM460*AB460*E460*D460</f>
        <v>65.216000000000008</v>
      </c>
      <c r="AW460" s="948">
        <f t="shared" ref="AW460:AW464" si="1164">AN460*AC460*E460*D460</f>
        <v>65.216000000000008</v>
      </c>
      <c r="AX460" s="948">
        <f t="shared" ref="AX460:AX464" si="1165">AO460*AD460*E460*D460</f>
        <v>67.800000000000011</v>
      </c>
      <c r="AY460" s="948">
        <f t="shared" ref="AY460:AY464" si="1166">AP460*AE460*E460*D460</f>
        <v>67.800000000000011</v>
      </c>
      <c r="AZ460" s="948">
        <f t="shared" ref="AZ460:AZ464" si="1167">AQ460*(AF460+AG460+AH460)*E460*D460</f>
        <v>961.60399999999993</v>
      </c>
      <c r="BA460" s="948">
        <f t="shared" ref="BA460:BA464" si="1168">AR460*(AF460+AG460+AH460)*E460*D460</f>
        <v>0</v>
      </c>
      <c r="BB460" s="948">
        <f t="shared" ref="BB460:BB464" si="1169">AS460*(AF460+AG460+AH460)*E460*D460</f>
        <v>0</v>
      </c>
      <c r="BC460" s="957">
        <f t="shared" ref="BC460:BK464" si="1170">N460*N460*0.074/12</f>
        <v>2.2261666666666664</v>
      </c>
      <c r="BD460" s="957">
        <f t="shared" si="1170"/>
        <v>2.2261666666666664</v>
      </c>
      <c r="BE460" s="957">
        <f t="shared" si="1170"/>
        <v>2.2261666666666664</v>
      </c>
      <c r="BF460" s="957">
        <f t="shared" si="1170"/>
        <v>2.2261666666666664</v>
      </c>
      <c r="BG460" s="957">
        <f t="shared" si="1170"/>
        <v>2.2261666666666664</v>
      </c>
      <c r="BH460" s="957">
        <f t="shared" si="1170"/>
        <v>2.2261666666666664</v>
      </c>
      <c r="BI460" s="957">
        <f t="shared" si="1170"/>
        <v>0.39466666666666667</v>
      </c>
      <c r="BJ460" s="957">
        <f t="shared" si="1170"/>
        <v>0</v>
      </c>
      <c r="BK460" s="957">
        <f t="shared" si="1170"/>
        <v>0</v>
      </c>
      <c r="BL460" s="948">
        <f t="shared" ref="BL460:BR464" si="1171">AT460*BC460</f>
        <v>150.9341</v>
      </c>
      <c r="BM460" s="948">
        <f t="shared" si="1171"/>
        <v>150.9341</v>
      </c>
      <c r="BN460" s="948">
        <f t="shared" si="1171"/>
        <v>145.18168533333335</v>
      </c>
      <c r="BO460" s="948">
        <f t="shared" si="1171"/>
        <v>145.18168533333335</v>
      </c>
      <c r="BP460" s="948">
        <f t="shared" si="1171"/>
        <v>150.9341</v>
      </c>
      <c r="BQ460" s="948">
        <f t="shared" si="1171"/>
        <v>150.9341</v>
      </c>
      <c r="BR460" s="948">
        <f t="shared" si="1171"/>
        <v>379.51304533333331</v>
      </c>
      <c r="BS460" s="948">
        <f>BB460*BK460</f>
        <v>0</v>
      </c>
      <c r="BT460" s="955">
        <f>SUM(BL460:BS460)/K460</f>
        <v>125.15849213836478</v>
      </c>
    </row>
    <row r="461" spans="1:72">
      <c r="A461" s="952">
        <v>2</v>
      </c>
      <c r="B461" s="952" t="s">
        <v>1162</v>
      </c>
      <c r="C461" s="950" t="s">
        <v>1163</v>
      </c>
      <c r="D461" s="950">
        <v>1</v>
      </c>
      <c r="E461" s="950">
        <v>1</v>
      </c>
      <c r="F461" s="948">
        <v>64</v>
      </c>
      <c r="G461" s="948">
        <v>0.25</v>
      </c>
      <c r="H461" s="948">
        <v>0.6</v>
      </c>
      <c r="I461" s="948">
        <v>0.12</v>
      </c>
      <c r="J461" s="948">
        <f>H461-I461</f>
        <v>0.48</v>
      </c>
      <c r="K461" s="948">
        <f>F461*G461*J461*D461*E461</f>
        <v>7.68</v>
      </c>
      <c r="L461" s="948">
        <f>(2*J461)*F461*E461*D461</f>
        <v>61.44</v>
      </c>
      <c r="M461" s="952"/>
      <c r="N461" s="950">
        <v>16</v>
      </c>
      <c r="O461" s="950">
        <v>16</v>
      </c>
      <c r="P461" s="950">
        <v>16</v>
      </c>
      <c r="Q461" s="950">
        <v>16</v>
      </c>
      <c r="R461" s="950">
        <v>16</v>
      </c>
      <c r="S461" s="950">
        <v>16</v>
      </c>
      <c r="T461" s="950">
        <v>8</v>
      </c>
      <c r="U461" s="950"/>
      <c r="V461" s="950"/>
      <c r="W461" s="950">
        <v>200</v>
      </c>
      <c r="X461" s="950">
        <v>100</v>
      </c>
      <c r="Y461" s="950">
        <v>100</v>
      </c>
      <c r="Z461" s="950">
        <v>4</v>
      </c>
      <c r="AA461" s="950">
        <v>4</v>
      </c>
      <c r="AB461" s="950">
        <v>2</v>
      </c>
      <c r="AC461" s="950">
        <v>2</v>
      </c>
      <c r="AD461" s="950">
        <v>4</v>
      </c>
      <c r="AE461" s="950">
        <v>4</v>
      </c>
      <c r="AF461" s="955">
        <f t="shared" si="1149"/>
        <v>81</v>
      </c>
      <c r="AG461" s="955">
        <f t="shared" si="1150"/>
        <v>321</v>
      </c>
      <c r="AH461" s="955">
        <f t="shared" si="1151"/>
        <v>161</v>
      </c>
      <c r="AI461" s="955">
        <v>0</v>
      </c>
      <c r="AJ461" s="955">
        <v>0</v>
      </c>
      <c r="AK461" s="948">
        <f t="shared" si="1152"/>
        <v>16.8</v>
      </c>
      <c r="AL461" s="948">
        <f t="shared" si="1153"/>
        <v>16.8</v>
      </c>
      <c r="AM461" s="948">
        <f t="shared" si="1154"/>
        <v>32.512</v>
      </c>
      <c r="AN461" s="948">
        <f t="shared" si="1155"/>
        <v>32.512</v>
      </c>
      <c r="AO461" s="948">
        <f t="shared" si="1156"/>
        <v>16.8</v>
      </c>
      <c r="AP461" s="948">
        <f t="shared" si="1157"/>
        <v>16.8</v>
      </c>
      <c r="AQ461" s="948">
        <f t="shared" si="1158"/>
        <v>1.508</v>
      </c>
      <c r="AR461" s="948">
        <f t="shared" si="1159"/>
        <v>0</v>
      </c>
      <c r="AS461" s="948">
        <f t="shared" si="1160"/>
        <v>0</v>
      </c>
      <c r="AT461" s="948">
        <f t="shared" si="1161"/>
        <v>67.2</v>
      </c>
      <c r="AU461" s="948">
        <f t="shared" si="1162"/>
        <v>67.2</v>
      </c>
      <c r="AV461" s="948">
        <f t="shared" si="1163"/>
        <v>65.024000000000001</v>
      </c>
      <c r="AW461" s="948">
        <f t="shared" si="1164"/>
        <v>65.024000000000001</v>
      </c>
      <c r="AX461" s="948">
        <f t="shared" si="1165"/>
        <v>67.2</v>
      </c>
      <c r="AY461" s="948">
        <f t="shared" si="1166"/>
        <v>67.2</v>
      </c>
      <c r="AZ461" s="948">
        <f t="shared" si="1167"/>
        <v>849.00400000000002</v>
      </c>
      <c r="BA461" s="948">
        <f t="shared" si="1168"/>
        <v>0</v>
      </c>
      <c r="BB461" s="948">
        <f t="shared" si="1169"/>
        <v>0</v>
      </c>
      <c r="BC461" s="957">
        <f t="shared" si="1170"/>
        <v>1.5786666666666667</v>
      </c>
      <c r="BD461" s="957">
        <f t="shared" si="1170"/>
        <v>1.5786666666666667</v>
      </c>
      <c r="BE461" s="957">
        <f t="shared" si="1170"/>
        <v>1.5786666666666667</v>
      </c>
      <c r="BF461" s="957">
        <f t="shared" si="1170"/>
        <v>1.5786666666666667</v>
      </c>
      <c r="BG461" s="957">
        <f t="shared" si="1170"/>
        <v>1.5786666666666667</v>
      </c>
      <c r="BH461" s="957">
        <f t="shared" si="1170"/>
        <v>1.5786666666666667</v>
      </c>
      <c r="BI461" s="957">
        <f t="shared" si="1170"/>
        <v>0.39466666666666667</v>
      </c>
      <c r="BJ461" s="957">
        <f t="shared" si="1170"/>
        <v>0</v>
      </c>
      <c r="BK461" s="957">
        <f t="shared" si="1170"/>
        <v>0</v>
      </c>
      <c r="BL461" s="948">
        <f t="shared" si="1171"/>
        <v>106.0864</v>
      </c>
      <c r="BM461" s="948">
        <f t="shared" si="1171"/>
        <v>106.0864</v>
      </c>
      <c r="BN461" s="948">
        <f t="shared" si="1171"/>
        <v>102.65122133333334</v>
      </c>
      <c r="BO461" s="948">
        <f t="shared" si="1171"/>
        <v>102.65122133333334</v>
      </c>
      <c r="BP461" s="948">
        <f t="shared" si="1171"/>
        <v>106.0864</v>
      </c>
      <c r="BQ461" s="948">
        <f t="shared" si="1171"/>
        <v>106.0864</v>
      </c>
      <c r="BR461" s="948">
        <f t="shared" si="1171"/>
        <v>335.07357866666666</v>
      </c>
      <c r="BS461" s="948">
        <f>BB461*BK461</f>
        <v>0</v>
      </c>
      <c r="BT461" s="955">
        <f>SUM(BL461:BS461)/K461</f>
        <v>125.61479444444446</v>
      </c>
    </row>
    <row r="462" spans="1:72">
      <c r="A462" s="952">
        <v>3</v>
      </c>
      <c r="B462" s="952" t="s">
        <v>1092</v>
      </c>
      <c r="C462" s="950" t="s">
        <v>1093</v>
      </c>
      <c r="D462" s="950">
        <v>1</v>
      </c>
      <c r="E462" s="950">
        <v>1</v>
      </c>
      <c r="F462" s="948">
        <v>80</v>
      </c>
      <c r="G462" s="948">
        <v>0.25</v>
      </c>
      <c r="H462" s="948">
        <v>0.6</v>
      </c>
      <c r="I462" s="948">
        <v>0.12</v>
      </c>
      <c r="J462" s="948">
        <f>H462-I462</f>
        <v>0.48</v>
      </c>
      <c r="K462" s="948">
        <f>F462*G462*J462*D462*E462</f>
        <v>9.6</v>
      </c>
      <c r="L462" s="948">
        <f>(2*J462)*F462*E462*D462</f>
        <v>76.8</v>
      </c>
      <c r="M462" s="952"/>
      <c r="N462" s="950">
        <v>16</v>
      </c>
      <c r="O462" s="950">
        <v>16</v>
      </c>
      <c r="P462" s="950">
        <v>16</v>
      </c>
      <c r="Q462" s="950">
        <v>16</v>
      </c>
      <c r="R462" s="950">
        <v>16</v>
      </c>
      <c r="S462" s="950">
        <v>16</v>
      </c>
      <c r="T462" s="950">
        <v>8</v>
      </c>
      <c r="U462" s="950"/>
      <c r="V462" s="950"/>
      <c r="W462" s="950">
        <v>200</v>
      </c>
      <c r="X462" s="950">
        <v>100</v>
      </c>
      <c r="Y462" s="950">
        <v>100</v>
      </c>
      <c r="Z462" s="950">
        <v>9</v>
      </c>
      <c r="AA462" s="950">
        <v>6</v>
      </c>
      <c r="AB462" s="950">
        <v>4</v>
      </c>
      <c r="AC462" s="950">
        <v>4</v>
      </c>
      <c r="AD462" s="950">
        <v>9</v>
      </c>
      <c r="AE462" s="950">
        <v>6</v>
      </c>
      <c r="AF462" s="955">
        <f t="shared" si="1149"/>
        <v>101</v>
      </c>
      <c r="AG462" s="955">
        <f t="shared" si="1150"/>
        <v>401</v>
      </c>
      <c r="AH462" s="955">
        <f t="shared" si="1151"/>
        <v>201</v>
      </c>
      <c r="AI462" s="955">
        <v>0</v>
      </c>
      <c r="AJ462" s="955">
        <v>0</v>
      </c>
      <c r="AK462" s="948">
        <f t="shared" si="1152"/>
        <v>20.8</v>
      </c>
      <c r="AL462" s="948">
        <f t="shared" si="1153"/>
        <v>20.8</v>
      </c>
      <c r="AM462" s="948">
        <f t="shared" si="1154"/>
        <v>40.512</v>
      </c>
      <c r="AN462" s="948">
        <f t="shared" si="1155"/>
        <v>40.512</v>
      </c>
      <c r="AO462" s="948">
        <f t="shared" si="1156"/>
        <v>20.8</v>
      </c>
      <c r="AP462" s="948">
        <f t="shared" si="1157"/>
        <v>20.8</v>
      </c>
      <c r="AQ462" s="948">
        <f t="shared" si="1158"/>
        <v>1.508</v>
      </c>
      <c r="AR462" s="948">
        <f t="shared" si="1159"/>
        <v>0</v>
      </c>
      <c r="AS462" s="948">
        <f t="shared" si="1160"/>
        <v>0</v>
      </c>
      <c r="AT462" s="948">
        <f t="shared" si="1161"/>
        <v>187.20000000000002</v>
      </c>
      <c r="AU462" s="948">
        <f t="shared" si="1162"/>
        <v>124.80000000000001</v>
      </c>
      <c r="AV462" s="948">
        <f t="shared" si="1163"/>
        <v>162.048</v>
      </c>
      <c r="AW462" s="948">
        <f t="shared" si="1164"/>
        <v>162.048</v>
      </c>
      <c r="AX462" s="948">
        <f t="shared" si="1165"/>
        <v>187.20000000000002</v>
      </c>
      <c r="AY462" s="948">
        <f t="shared" si="1166"/>
        <v>124.80000000000001</v>
      </c>
      <c r="AZ462" s="948">
        <f t="shared" si="1167"/>
        <v>1060.124</v>
      </c>
      <c r="BA462" s="948">
        <f t="shared" si="1168"/>
        <v>0</v>
      </c>
      <c r="BB462" s="948">
        <f t="shared" si="1169"/>
        <v>0</v>
      </c>
      <c r="BC462" s="957">
        <f t="shared" si="1170"/>
        <v>1.5786666666666667</v>
      </c>
      <c r="BD462" s="957">
        <f t="shared" si="1170"/>
        <v>1.5786666666666667</v>
      </c>
      <c r="BE462" s="957">
        <f t="shared" si="1170"/>
        <v>1.5786666666666667</v>
      </c>
      <c r="BF462" s="957">
        <f t="shared" si="1170"/>
        <v>1.5786666666666667</v>
      </c>
      <c r="BG462" s="957">
        <f t="shared" si="1170"/>
        <v>1.5786666666666667</v>
      </c>
      <c r="BH462" s="957">
        <f t="shared" si="1170"/>
        <v>1.5786666666666667</v>
      </c>
      <c r="BI462" s="957">
        <f t="shared" si="1170"/>
        <v>0.39466666666666667</v>
      </c>
      <c r="BJ462" s="957">
        <f t="shared" si="1170"/>
        <v>0</v>
      </c>
      <c r="BK462" s="957">
        <f t="shared" si="1170"/>
        <v>0</v>
      </c>
      <c r="BL462" s="948">
        <f t="shared" si="1171"/>
        <v>295.52640000000002</v>
      </c>
      <c r="BM462" s="948">
        <f t="shared" si="1171"/>
        <v>197.01760000000002</v>
      </c>
      <c r="BN462" s="948">
        <f t="shared" si="1171"/>
        <v>255.81977599999999</v>
      </c>
      <c r="BO462" s="948">
        <f t="shared" si="1171"/>
        <v>255.81977599999999</v>
      </c>
      <c r="BP462" s="948">
        <f t="shared" si="1171"/>
        <v>295.52640000000002</v>
      </c>
      <c r="BQ462" s="948">
        <f t="shared" si="1171"/>
        <v>197.01760000000002</v>
      </c>
      <c r="BR462" s="948">
        <f t="shared" si="1171"/>
        <v>418.39560533333332</v>
      </c>
      <c r="BS462" s="948">
        <f>BB462*BK462</f>
        <v>0</v>
      </c>
      <c r="BT462" s="955">
        <f>SUM(BL462:BS462)/K462</f>
        <v>199.49199555555555</v>
      </c>
    </row>
    <row r="463" spans="1:72">
      <c r="A463" s="952">
        <v>4</v>
      </c>
      <c r="B463" s="952" t="s">
        <v>1164</v>
      </c>
      <c r="C463" s="950" t="s">
        <v>1165</v>
      </c>
      <c r="D463" s="950">
        <v>1</v>
      </c>
      <c r="E463" s="950">
        <v>1</v>
      </c>
      <c r="F463" s="948">
        <v>80</v>
      </c>
      <c r="G463" s="948">
        <v>0.3</v>
      </c>
      <c r="H463" s="948">
        <v>0.65</v>
      </c>
      <c r="I463" s="948">
        <v>0.12</v>
      </c>
      <c r="J463" s="948">
        <f>H463-I463</f>
        <v>0.53</v>
      </c>
      <c r="K463" s="948">
        <f>F463*G463*J463*D463*E463</f>
        <v>12.72</v>
      </c>
      <c r="L463" s="948">
        <f>(2*J463)*F463*E463*D463</f>
        <v>84.800000000000011</v>
      </c>
      <c r="M463" s="952"/>
      <c r="N463" s="950">
        <v>16</v>
      </c>
      <c r="O463" s="950">
        <v>16</v>
      </c>
      <c r="P463" s="950">
        <v>16</v>
      </c>
      <c r="Q463" s="950">
        <v>16</v>
      </c>
      <c r="R463" s="950">
        <v>16</v>
      </c>
      <c r="S463" s="950">
        <v>16</v>
      </c>
      <c r="T463" s="950">
        <v>8</v>
      </c>
      <c r="U463" s="950"/>
      <c r="V463" s="950"/>
      <c r="W463" s="950">
        <v>200</v>
      </c>
      <c r="X463" s="950">
        <v>100</v>
      </c>
      <c r="Y463" s="950">
        <v>100</v>
      </c>
      <c r="Z463" s="950">
        <v>4</v>
      </c>
      <c r="AA463" s="950">
        <v>4</v>
      </c>
      <c r="AB463" s="950">
        <v>2</v>
      </c>
      <c r="AC463" s="950">
        <v>2</v>
      </c>
      <c r="AD463" s="950">
        <v>4</v>
      </c>
      <c r="AE463" s="950">
        <v>4</v>
      </c>
      <c r="AF463" s="955">
        <f t="shared" si="1149"/>
        <v>101</v>
      </c>
      <c r="AG463" s="955">
        <f t="shared" si="1150"/>
        <v>401</v>
      </c>
      <c r="AH463" s="955">
        <f t="shared" si="1151"/>
        <v>201</v>
      </c>
      <c r="AI463" s="955">
        <v>0</v>
      </c>
      <c r="AJ463" s="955">
        <v>0</v>
      </c>
      <c r="AK463" s="948">
        <f t="shared" si="1152"/>
        <v>20.8</v>
      </c>
      <c r="AL463" s="948">
        <f t="shared" si="1153"/>
        <v>20.8</v>
      </c>
      <c r="AM463" s="948">
        <f t="shared" si="1154"/>
        <v>40.512</v>
      </c>
      <c r="AN463" s="948">
        <f t="shared" si="1155"/>
        <v>40.512</v>
      </c>
      <c r="AO463" s="948">
        <f t="shared" si="1156"/>
        <v>20.8</v>
      </c>
      <c r="AP463" s="948">
        <f t="shared" si="1157"/>
        <v>20.8</v>
      </c>
      <c r="AQ463" s="948">
        <f t="shared" si="1158"/>
        <v>1.708</v>
      </c>
      <c r="AR463" s="948">
        <f t="shared" si="1159"/>
        <v>0</v>
      </c>
      <c r="AS463" s="948">
        <f t="shared" si="1160"/>
        <v>0</v>
      </c>
      <c r="AT463" s="948">
        <f t="shared" si="1161"/>
        <v>83.2</v>
      </c>
      <c r="AU463" s="948">
        <f t="shared" si="1162"/>
        <v>83.2</v>
      </c>
      <c r="AV463" s="948">
        <f t="shared" si="1163"/>
        <v>81.024000000000001</v>
      </c>
      <c r="AW463" s="948">
        <f t="shared" si="1164"/>
        <v>81.024000000000001</v>
      </c>
      <c r="AX463" s="948">
        <f t="shared" si="1165"/>
        <v>83.2</v>
      </c>
      <c r="AY463" s="948">
        <f t="shared" si="1166"/>
        <v>83.2</v>
      </c>
      <c r="AZ463" s="948">
        <f t="shared" si="1167"/>
        <v>1200.7239999999999</v>
      </c>
      <c r="BA463" s="948">
        <f t="shared" si="1168"/>
        <v>0</v>
      </c>
      <c r="BB463" s="948">
        <f t="shared" si="1169"/>
        <v>0</v>
      </c>
      <c r="BC463" s="957">
        <f t="shared" si="1170"/>
        <v>1.5786666666666667</v>
      </c>
      <c r="BD463" s="957">
        <f t="shared" si="1170"/>
        <v>1.5786666666666667</v>
      </c>
      <c r="BE463" s="957">
        <f t="shared" si="1170"/>
        <v>1.5786666666666667</v>
      </c>
      <c r="BF463" s="957">
        <f t="shared" si="1170"/>
        <v>1.5786666666666667</v>
      </c>
      <c r="BG463" s="957">
        <f t="shared" si="1170"/>
        <v>1.5786666666666667</v>
      </c>
      <c r="BH463" s="957">
        <f t="shared" si="1170"/>
        <v>1.5786666666666667</v>
      </c>
      <c r="BI463" s="957">
        <f t="shared" si="1170"/>
        <v>0.39466666666666667</v>
      </c>
      <c r="BJ463" s="957">
        <f t="shared" si="1170"/>
        <v>0</v>
      </c>
      <c r="BK463" s="957">
        <f t="shared" si="1170"/>
        <v>0</v>
      </c>
      <c r="BL463" s="948">
        <f t="shared" si="1171"/>
        <v>131.34506666666667</v>
      </c>
      <c r="BM463" s="948">
        <f t="shared" si="1171"/>
        <v>131.34506666666667</v>
      </c>
      <c r="BN463" s="948">
        <f t="shared" si="1171"/>
        <v>127.909888</v>
      </c>
      <c r="BO463" s="948">
        <f t="shared" si="1171"/>
        <v>127.909888</v>
      </c>
      <c r="BP463" s="948">
        <f t="shared" si="1171"/>
        <v>131.34506666666667</v>
      </c>
      <c r="BQ463" s="948">
        <f t="shared" si="1171"/>
        <v>131.34506666666667</v>
      </c>
      <c r="BR463" s="948">
        <f t="shared" si="1171"/>
        <v>473.88573866666661</v>
      </c>
      <c r="BS463" s="948">
        <f>BB463*BK463</f>
        <v>0</v>
      </c>
      <c r="BT463" s="955">
        <f>SUM(BL463:BS463)/K463</f>
        <v>98.670265828092226</v>
      </c>
    </row>
    <row r="464" spans="1:72">
      <c r="A464" s="952">
        <v>5</v>
      </c>
      <c r="B464" s="952" t="s">
        <v>1166</v>
      </c>
      <c r="C464" s="950" t="s">
        <v>1103</v>
      </c>
      <c r="D464" s="950">
        <v>1</v>
      </c>
      <c r="E464" s="950">
        <v>1</v>
      </c>
      <c r="F464" s="948">
        <v>10</v>
      </c>
      <c r="G464" s="948">
        <v>0.25</v>
      </c>
      <c r="H464" s="948">
        <v>0.6</v>
      </c>
      <c r="I464" s="948">
        <v>0.12</v>
      </c>
      <c r="J464" s="948">
        <f t="shared" ref="J464" si="1172">H464-I464</f>
        <v>0.48</v>
      </c>
      <c r="K464" s="948">
        <f t="shared" ref="K464" si="1173">F464*G464*J464*D464*E464</f>
        <v>1.2</v>
      </c>
      <c r="L464" s="948">
        <f t="shared" ref="L464" si="1174">(2*J464)*F464*E464*D464+(D464*E464*F464*G464)</f>
        <v>12.1</v>
      </c>
      <c r="M464" s="952"/>
      <c r="N464" s="950">
        <v>16</v>
      </c>
      <c r="O464" s="950">
        <v>16</v>
      </c>
      <c r="P464" s="950">
        <v>16</v>
      </c>
      <c r="Q464" s="950">
        <v>16</v>
      </c>
      <c r="R464" s="950">
        <v>16</v>
      </c>
      <c r="S464" s="950">
        <v>16</v>
      </c>
      <c r="T464" s="950">
        <v>8</v>
      </c>
      <c r="U464" s="950"/>
      <c r="V464" s="950"/>
      <c r="W464" s="950">
        <v>200</v>
      </c>
      <c r="X464" s="950">
        <v>100</v>
      </c>
      <c r="Y464" s="950">
        <v>100</v>
      </c>
      <c r="Z464" s="950">
        <v>4</v>
      </c>
      <c r="AA464" s="950">
        <v>4</v>
      </c>
      <c r="AB464" s="950">
        <v>2</v>
      </c>
      <c r="AC464" s="950">
        <v>2</v>
      </c>
      <c r="AD464" s="950">
        <v>4</v>
      </c>
      <c r="AE464" s="950">
        <v>4</v>
      </c>
      <c r="AF464" s="955">
        <f t="shared" si="1149"/>
        <v>13.5</v>
      </c>
      <c r="AG464" s="955">
        <f t="shared" si="1150"/>
        <v>51</v>
      </c>
      <c r="AH464" s="955">
        <f t="shared" si="1151"/>
        <v>26</v>
      </c>
      <c r="AI464" s="955">
        <v>0</v>
      </c>
      <c r="AJ464" s="955">
        <v>0</v>
      </c>
      <c r="AK464" s="948">
        <f t="shared" si="1152"/>
        <v>3.3000000000000003</v>
      </c>
      <c r="AL464" s="948">
        <f t="shared" si="1153"/>
        <v>3.3000000000000003</v>
      </c>
      <c r="AM464" s="948">
        <f t="shared" si="1154"/>
        <v>5.5120000000000005</v>
      </c>
      <c r="AN464" s="948">
        <f t="shared" si="1155"/>
        <v>5.5120000000000005</v>
      </c>
      <c r="AO464" s="948">
        <f t="shared" si="1156"/>
        <v>3.3000000000000003</v>
      </c>
      <c r="AP464" s="948">
        <f t="shared" si="1157"/>
        <v>3.3000000000000003</v>
      </c>
      <c r="AQ464" s="948">
        <f t="shared" si="1158"/>
        <v>1.508</v>
      </c>
      <c r="AR464" s="948">
        <f t="shared" si="1159"/>
        <v>0</v>
      </c>
      <c r="AS464" s="948">
        <f t="shared" si="1160"/>
        <v>0</v>
      </c>
      <c r="AT464" s="948">
        <f t="shared" si="1161"/>
        <v>13.200000000000001</v>
      </c>
      <c r="AU464" s="948">
        <f t="shared" si="1162"/>
        <v>13.200000000000001</v>
      </c>
      <c r="AV464" s="948">
        <f t="shared" si="1163"/>
        <v>11.024000000000001</v>
      </c>
      <c r="AW464" s="948">
        <f t="shared" si="1164"/>
        <v>11.024000000000001</v>
      </c>
      <c r="AX464" s="948">
        <f t="shared" si="1165"/>
        <v>13.200000000000001</v>
      </c>
      <c r="AY464" s="948">
        <f t="shared" si="1166"/>
        <v>13.200000000000001</v>
      </c>
      <c r="AZ464" s="948">
        <f t="shared" si="1167"/>
        <v>136.47399999999999</v>
      </c>
      <c r="BA464" s="948">
        <f t="shared" si="1168"/>
        <v>0</v>
      </c>
      <c r="BB464" s="948">
        <f t="shared" si="1169"/>
        <v>0</v>
      </c>
      <c r="BC464" s="957">
        <f t="shared" si="1170"/>
        <v>1.5786666666666667</v>
      </c>
      <c r="BD464" s="957">
        <f t="shared" si="1170"/>
        <v>1.5786666666666667</v>
      </c>
      <c r="BE464" s="957">
        <f t="shared" si="1170"/>
        <v>1.5786666666666667</v>
      </c>
      <c r="BF464" s="957">
        <f t="shared" si="1170"/>
        <v>1.5786666666666667</v>
      </c>
      <c r="BG464" s="957">
        <f t="shared" si="1170"/>
        <v>1.5786666666666667</v>
      </c>
      <c r="BH464" s="957">
        <f t="shared" si="1170"/>
        <v>1.5786666666666667</v>
      </c>
      <c r="BI464" s="957">
        <f t="shared" si="1170"/>
        <v>0.39466666666666667</v>
      </c>
      <c r="BJ464" s="957">
        <f t="shared" si="1170"/>
        <v>0</v>
      </c>
      <c r="BK464" s="957">
        <f t="shared" si="1170"/>
        <v>0</v>
      </c>
      <c r="BL464" s="948">
        <f t="shared" si="1171"/>
        <v>20.8384</v>
      </c>
      <c r="BM464" s="948">
        <f t="shared" si="1171"/>
        <v>20.8384</v>
      </c>
      <c r="BN464" s="948">
        <f t="shared" si="1171"/>
        <v>17.403221333333335</v>
      </c>
      <c r="BO464" s="948">
        <f t="shared" si="1171"/>
        <v>17.403221333333335</v>
      </c>
      <c r="BP464" s="948">
        <f t="shared" si="1171"/>
        <v>20.8384</v>
      </c>
      <c r="BQ464" s="948">
        <f t="shared" si="1171"/>
        <v>20.8384</v>
      </c>
      <c r="BR464" s="948">
        <f t="shared" si="1171"/>
        <v>53.86173866666666</v>
      </c>
      <c r="BS464" s="948">
        <f>BB464*BK464</f>
        <v>0</v>
      </c>
      <c r="BT464" s="955">
        <f>SUM(BL464:BS464)/K464</f>
        <v>143.35148444444445</v>
      </c>
    </row>
    <row r="465" spans="1:72">
      <c r="A465" s="952"/>
      <c r="B465" s="952"/>
      <c r="C465" s="950"/>
      <c r="D465" s="950"/>
      <c r="E465" s="950"/>
      <c r="F465" s="948"/>
      <c r="G465" s="948"/>
      <c r="H465" s="948"/>
      <c r="I465" s="948"/>
      <c r="J465" s="948"/>
      <c r="K465" s="948"/>
      <c r="L465" s="948"/>
      <c r="M465" s="952"/>
      <c r="N465" s="948"/>
      <c r="O465" s="950"/>
      <c r="P465" s="950"/>
      <c r="Q465" s="950"/>
      <c r="R465" s="950"/>
      <c r="S465" s="950"/>
      <c r="T465" s="950"/>
      <c r="U465" s="950"/>
      <c r="V465" s="950"/>
      <c r="W465" s="950"/>
      <c r="X465" s="950"/>
      <c r="Y465" s="950"/>
      <c r="Z465" s="950"/>
      <c r="AA465" s="950"/>
      <c r="AB465" s="950"/>
      <c r="AC465" s="950"/>
      <c r="AD465" s="950"/>
      <c r="AE465" s="950"/>
      <c r="AF465" s="955"/>
      <c r="AG465" s="955"/>
      <c r="AH465" s="955"/>
      <c r="AI465" s="955"/>
      <c r="AJ465" s="955"/>
      <c r="AK465" s="948"/>
      <c r="AL465" s="948"/>
      <c r="AM465" s="948"/>
      <c r="AN465" s="948"/>
      <c r="AO465" s="948"/>
      <c r="AP465" s="948"/>
      <c r="AQ465" s="948"/>
      <c r="AR465" s="948"/>
      <c r="AS465" s="948"/>
      <c r="AT465" s="948"/>
      <c r="AU465" s="948"/>
      <c r="AV465" s="948"/>
      <c r="AW465" s="948"/>
      <c r="AX465" s="948"/>
      <c r="AY465" s="948"/>
      <c r="AZ465" s="948"/>
      <c r="BA465" s="948"/>
      <c r="BB465" s="948"/>
      <c r="BC465" s="957"/>
      <c r="BD465" s="957"/>
      <c r="BE465" s="957"/>
      <c r="BF465" s="957"/>
      <c r="BG465" s="957"/>
      <c r="BH465" s="957"/>
      <c r="BI465" s="957"/>
      <c r="BJ465" s="957"/>
      <c r="BK465" s="957"/>
      <c r="BL465" s="948"/>
      <c r="BM465" s="948"/>
      <c r="BN465" s="948"/>
      <c r="BO465" s="948"/>
      <c r="BP465" s="948"/>
      <c r="BQ465" s="948"/>
      <c r="BR465" s="948"/>
      <c r="BS465" s="948"/>
      <c r="BT465" s="955"/>
    </row>
    <row r="466" spans="1:72">
      <c r="A466" s="960" t="s">
        <v>8</v>
      </c>
      <c r="B466" s="960" t="s">
        <v>1104</v>
      </c>
      <c r="C466" s="950"/>
      <c r="D466" s="950"/>
      <c r="E466" s="950"/>
      <c r="F466" s="948"/>
      <c r="G466" s="948"/>
      <c r="H466" s="948"/>
      <c r="I466" s="948"/>
      <c r="J466" s="948"/>
      <c r="K466" s="948"/>
      <c r="L466" s="948"/>
      <c r="M466" s="952"/>
      <c r="N466" s="959" t="str">
        <f>A466</f>
        <v>B</v>
      </c>
      <c r="O466" s="959" t="str">
        <f>B466</f>
        <v>Horizontal</v>
      </c>
      <c r="P466" s="950"/>
      <c r="Q466" s="950"/>
      <c r="R466" s="950"/>
      <c r="S466" s="950"/>
      <c r="T466" s="950"/>
      <c r="U466" s="950"/>
      <c r="V466" s="950"/>
      <c r="W466" s="950"/>
      <c r="X466" s="950"/>
      <c r="Y466" s="950"/>
      <c r="Z466" s="950"/>
      <c r="AA466" s="950"/>
      <c r="AB466" s="950"/>
      <c r="AC466" s="950"/>
      <c r="AD466" s="950"/>
      <c r="AE466" s="950"/>
      <c r="AF466" s="955"/>
      <c r="AG466" s="955"/>
      <c r="AH466" s="955"/>
      <c r="AI466" s="955"/>
      <c r="AJ466" s="955"/>
      <c r="AK466" s="948"/>
      <c r="AL466" s="948"/>
      <c r="AM466" s="948"/>
      <c r="AN466" s="948"/>
      <c r="AO466" s="948"/>
      <c r="AP466" s="948"/>
      <c r="AQ466" s="948"/>
      <c r="AR466" s="948"/>
      <c r="AS466" s="948"/>
      <c r="AT466" s="948"/>
      <c r="AU466" s="948"/>
      <c r="AV466" s="948"/>
      <c r="AW466" s="948"/>
      <c r="AX466" s="948"/>
      <c r="AY466" s="948"/>
      <c r="AZ466" s="948"/>
      <c r="BA466" s="948"/>
      <c r="BB466" s="948"/>
      <c r="BC466" s="957"/>
      <c r="BD466" s="957"/>
      <c r="BE466" s="957"/>
      <c r="BF466" s="957"/>
      <c r="BG466" s="957"/>
      <c r="BH466" s="957"/>
      <c r="BI466" s="957"/>
      <c r="BJ466" s="957"/>
      <c r="BK466" s="957"/>
      <c r="BL466" s="948"/>
      <c r="BM466" s="948"/>
      <c r="BN466" s="948"/>
      <c r="BO466" s="948"/>
      <c r="BP466" s="948"/>
      <c r="BQ466" s="948"/>
      <c r="BR466" s="948"/>
      <c r="BS466" s="948"/>
      <c r="BT466" s="955"/>
    </row>
    <row r="467" spans="1:72">
      <c r="A467" s="952">
        <v>1</v>
      </c>
      <c r="B467" s="952" t="s">
        <v>1167</v>
      </c>
      <c r="C467" s="950" t="s">
        <v>1168</v>
      </c>
      <c r="D467" s="950">
        <v>1</v>
      </c>
      <c r="E467" s="950">
        <v>1</v>
      </c>
      <c r="F467" s="948">
        <v>8</v>
      </c>
      <c r="G467" s="948">
        <v>0.3</v>
      </c>
      <c r="H467" s="948">
        <v>0.7</v>
      </c>
      <c r="I467" s="948">
        <v>0.12</v>
      </c>
      <c r="J467" s="948">
        <f t="shared" ref="J467:J473" si="1175">H467-I467</f>
        <v>0.57999999999999996</v>
      </c>
      <c r="K467" s="948">
        <f>F467*G467*J467*D467*E467</f>
        <v>1.3919999999999999</v>
      </c>
      <c r="L467" s="948">
        <f t="shared" ref="L467" si="1176">(2*J467)*F467*E467*D467+(D467*E467*F467*G467)</f>
        <v>11.68</v>
      </c>
      <c r="M467" s="952"/>
      <c r="N467" s="950">
        <v>16</v>
      </c>
      <c r="O467" s="950">
        <v>16</v>
      </c>
      <c r="P467" s="950">
        <v>16</v>
      </c>
      <c r="Q467" s="950">
        <v>16</v>
      </c>
      <c r="R467" s="950">
        <v>16</v>
      </c>
      <c r="S467" s="950">
        <v>16</v>
      </c>
      <c r="T467" s="950">
        <v>8</v>
      </c>
      <c r="U467" s="950"/>
      <c r="V467" s="950"/>
      <c r="W467" s="950">
        <v>200</v>
      </c>
      <c r="X467" s="950">
        <v>100</v>
      </c>
      <c r="Y467" s="950">
        <v>100</v>
      </c>
      <c r="Z467" s="950">
        <v>4</v>
      </c>
      <c r="AA467" s="950">
        <v>4</v>
      </c>
      <c r="AB467" s="950">
        <v>2</v>
      </c>
      <c r="AC467" s="950">
        <v>2</v>
      </c>
      <c r="AD467" s="950">
        <v>4</v>
      </c>
      <c r="AE467" s="950">
        <v>4</v>
      </c>
      <c r="AF467" s="955">
        <f t="shared" ref="AF467:AF473" si="1177">(F467/4)/(W467/1000)+1</f>
        <v>11</v>
      </c>
      <c r="AG467" s="955">
        <f t="shared" ref="AG467:AG473" si="1178">(F467/2)/(X467/1000)+1</f>
        <v>41</v>
      </c>
      <c r="AH467" s="955">
        <f t="shared" ref="AH467:AH473" si="1179">(F467/4)/(Y467/1000)+1</f>
        <v>21</v>
      </c>
      <c r="AI467" s="955">
        <v>0</v>
      </c>
      <c r="AJ467" s="955">
        <v>0</v>
      </c>
      <c r="AK467" s="948">
        <f t="shared" ref="AK467:AK473" si="1180">(F467/4)+(20*N467/1000)+(10*N467/1000)+(8*N467/1000)+(6*2*N467/1000)</f>
        <v>2.8000000000000003</v>
      </c>
      <c r="AL467" s="948">
        <f t="shared" ref="AL467:AL473" si="1181">(F467/4)+(20*O467/1000)+(10*O467/1000)+(8*O467/1000)+(6*2*O467/1000)</f>
        <v>2.8000000000000003</v>
      </c>
      <c r="AM467" s="948">
        <f t="shared" ref="AM467:AM473" si="1182">(F467/2)+(20*P467/1000)+(6*2*P467/1000)</f>
        <v>4.5120000000000005</v>
      </c>
      <c r="AN467" s="948">
        <f t="shared" ref="AN467:AN473" si="1183">(F467/2)+(20*Q467/1000)+(6*2*Q467/1000)</f>
        <v>4.5120000000000005</v>
      </c>
      <c r="AO467" s="948">
        <f t="shared" ref="AO467:AO473" si="1184">(F467/4)+(20*R467/1000)+(10*R467/1000)+(8*R467/1000)+(6*2*R467/1000)</f>
        <v>2.8000000000000003</v>
      </c>
      <c r="AP467" s="948">
        <f t="shared" ref="AP467:AP473" si="1185">(F467/4)+(20*S467/1000)+(10*S467/1000)+(8*S467/1000)+(6*2*S467/1000)</f>
        <v>2.8000000000000003</v>
      </c>
      <c r="AQ467" s="948">
        <f t="shared" ref="AQ467:AQ473" si="1186">(2*G467)+(2*H467)+(6*T467/1000)-(8*0.03)</f>
        <v>1.8080000000000001</v>
      </c>
      <c r="AR467" s="948">
        <f t="shared" ref="AR467:AR473" si="1187">((H467)+(2*6*U467/1000)-(2*0.03))*AI467</f>
        <v>0</v>
      </c>
      <c r="AS467" s="948">
        <f t="shared" ref="AS467:AS473" si="1188">((G467)+(2*6*V467/1000)-(2*0.03))*AJ467</f>
        <v>0</v>
      </c>
      <c r="AT467" s="948">
        <f t="shared" ref="AT467:AT473" si="1189">AK467*Z467*E467*D467</f>
        <v>11.200000000000001</v>
      </c>
      <c r="AU467" s="948">
        <f t="shared" ref="AU467:AU473" si="1190">AL467*AA467*E467*D467</f>
        <v>11.200000000000001</v>
      </c>
      <c r="AV467" s="948">
        <f t="shared" ref="AV467:AV473" si="1191">AM467*AB467*E467*D467</f>
        <v>9.0240000000000009</v>
      </c>
      <c r="AW467" s="948">
        <f t="shared" ref="AW467:AW473" si="1192">AN467*AC467*E467*D467</f>
        <v>9.0240000000000009</v>
      </c>
      <c r="AX467" s="948">
        <f t="shared" ref="AX467:AX473" si="1193">AO467*AD467*E467*D467</f>
        <v>11.200000000000001</v>
      </c>
      <c r="AY467" s="948">
        <f t="shared" ref="AY467:AY473" si="1194">AP467*AE467*E467*D467</f>
        <v>11.200000000000001</v>
      </c>
      <c r="AZ467" s="948">
        <f t="shared" ref="AZ467:AZ473" si="1195">AQ467*(AF467+AG467+AH467)*E467*D467</f>
        <v>131.98400000000001</v>
      </c>
      <c r="BA467" s="948">
        <f t="shared" ref="BA467:BA473" si="1196">AR467*(AF467+AG467+AH467)*E467*D467</f>
        <v>0</v>
      </c>
      <c r="BB467" s="948">
        <f t="shared" ref="BB467:BB473" si="1197">AS467*(AF467+AG467+AH467)*E467*D467</f>
        <v>0</v>
      </c>
      <c r="BC467" s="957">
        <f t="shared" ref="BC467:BK473" si="1198">N467*N467*0.074/12</f>
        <v>1.5786666666666667</v>
      </c>
      <c r="BD467" s="957">
        <f t="shared" si="1198"/>
        <v>1.5786666666666667</v>
      </c>
      <c r="BE467" s="957">
        <f t="shared" si="1198"/>
        <v>1.5786666666666667</v>
      </c>
      <c r="BF467" s="957">
        <f t="shared" si="1198"/>
        <v>1.5786666666666667</v>
      </c>
      <c r="BG467" s="957">
        <f t="shared" si="1198"/>
        <v>1.5786666666666667</v>
      </c>
      <c r="BH467" s="957">
        <f t="shared" si="1198"/>
        <v>1.5786666666666667</v>
      </c>
      <c r="BI467" s="957">
        <f t="shared" si="1198"/>
        <v>0.39466666666666667</v>
      </c>
      <c r="BJ467" s="957">
        <f t="shared" si="1198"/>
        <v>0</v>
      </c>
      <c r="BK467" s="957">
        <f t="shared" si="1198"/>
        <v>0</v>
      </c>
      <c r="BL467" s="948">
        <f t="shared" ref="BL467:BR473" si="1199">AT467*BC467</f>
        <v>17.68106666666667</v>
      </c>
      <c r="BM467" s="948">
        <f t="shared" si="1199"/>
        <v>17.68106666666667</v>
      </c>
      <c r="BN467" s="948">
        <f t="shared" si="1199"/>
        <v>14.245888000000001</v>
      </c>
      <c r="BO467" s="948">
        <f t="shared" si="1199"/>
        <v>14.245888000000001</v>
      </c>
      <c r="BP467" s="948">
        <f t="shared" si="1199"/>
        <v>17.68106666666667</v>
      </c>
      <c r="BQ467" s="948">
        <f t="shared" si="1199"/>
        <v>17.68106666666667</v>
      </c>
      <c r="BR467" s="948">
        <f t="shared" si="1199"/>
        <v>52.089685333333335</v>
      </c>
      <c r="BS467" s="948">
        <f t="shared" ref="BS467:BS473" si="1200">BB467*BK467</f>
        <v>0</v>
      </c>
      <c r="BT467" s="955">
        <f t="shared" ref="BT467:BT473" si="1201">SUM(BL467:BS467)/K467</f>
        <v>108.69664367816094</v>
      </c>
    </row>
    <row r="468" spans="1:72">
      <c r="A468" s="952">
        <v>2</v>
      </c>
      <c r="B468" s="952" t="s">
        <v>1186</v>
      </c>
      <c r="C468" s="950" t="s">
        <v>1187</v>
      </c>
      <c r="D468" s="950">
        <v>1</v>
      </c>
      <c r="E468" s="950">
        <v>1</v>
      </c>
      <c r="F468" s="948">
        <v>14</v>
      </c>
      <c r="G468" s="948">
        <v>0.3</v>
      </c>
      <c r="H468" s="948">
        <v>0.65</v>
      </c>
      <c r="I468" s="948">
        <v>0.12</v>
      </c>
      <c r="J468" s="948">
        <f t="shared" si="1175"/>
        <v>0.53</v>
      </c>
      <c r="K468" s="948">
        <f t="shared" ref="K468:K473" si="1202">F468*G468*J468*D468*E468</f>
        <v>2.2260000000000004</v>
      </c>
      <c r="L468" s="948">
        <f t="shared" ref="L468:L473" si="1203">(2*J468)*F468*E468*D468</f>
        <v>14.84</v>
      </c>
      <c r="M468" s="952"/>
      <c r="N468" s="950">
        <v>16</v>
      </c>
      <c r="O468" s="950">
        <v>16</v>
      </c>
      <c r="P468" s="950">
        <v>16</v>
      </c>
      <c r="Q468" s="950">
        <v>16</v>
      </c>
      <c r="R468" s="950">
        <v>16</v>
      </c>
      <c r="S468" s="950">
        <v>16</v>
      </c>
      <c r="T468" s="950">
        <v>8</v>
      </c>
      <c r="U468" s="950"/>
      <c r="V468" s="950"/>
      <c r="W468" s="950">
        <v>200</v>
      </c>
      <c r="X468" s="950">
        <v>100</v>
      </c>
      <c r="Y468" s="950">
        <v>100</v>
      </c>
      <c r="Z468" s="950">
        <v>4</v>
      </c>
      <c r="AA468" s="950">
        <v>4</v>
      </c>
      <c r="AB468" s="950">
        <v>2</v>
      </c>
      <c r="AC468" s="950">
        <v>2</v>
      </c>
      <c r="AD468" s="950">
        <v>4</v>
      </c>
      <c r="AE468" s="950">
        <v>4</v>
      </c>
      <c r="AF468" s="955">
        <f t="shared" si="1177"/>
        <v>18.5</v>
      </c>
      <c r="AG468" s="955">
        <f t="shared" si="1178"/>
        <v>71</v>
      </c>
      <c r="AH468" s="955">
        <f t="shared" si="1179"/>
        <v>36</v>
      </c>
      <c r="AI468" s="955">
        <v>0</v>
      </c>
      <c r="AJ468" s="955">
        <v>0</v>
      </c>
      <c r="AK468" s="948">
        <f t="shared" si="1180"/>
        <v>4.3</v>
      </c>
      <c r="AL468" s="948">
        <f t="shared" si="1181"/>
        <v>4.3</v>
      </c>
      <c r="AM468" s="948">
        <f t="shared" si="1182"/>
        <v>7.5120000000000005</v>
      </c>
      <c r="AN468" s="948">
        <f t="shared" si="1183"/>
        <v>7.5120000000000005</v>
      </c>
      <c r="AO468" s="948">
        <f t="shared" si="1184"/>
        <v>4.3</v>
      </c>
      <c r="AP468" s="948">
        <f t="shared" si="1185"/>
        <v>4.3</v>
      </c>
      <c r="AQ468" s="948">
        <f t="shared" si="1186"/>
        <v>1.708</v>
      </c>
      <c r="AR468" s="948">
        <f t="shared" si="1187"/>
        <v>0</v>
      </c>
      <c r="AS468" s="948">
        <f t="shared" si="1188"/>
        <v>0</v>
      </c>
      <c r="AT468" s="948">
        <f t="shared" si="1189"/>
        <v>17.2</v>
      </c>
      <c r="AU468" s="948">
        <f t="shared" si="1190"/>
        <v>17.2</v>
      </c>
      <c r="AV468" s="948">
        <f t="shared" si="1191"/>
        <v>15.024000000000001</v>
      </c>
      <c r="AW468" s="948">
        <f t="shared" si="1192"/>
        <v>15.024000000000001</v>
      </c>
      <c r="AX468" s="948">
        <f t="shared" si="1193"/>
        <v>17.2</v>
      </c>
      <c r="AY468" s="948">
        <f t="shared" si="1194"/>
        <v>17.2</v>
      </c>
      <c r="AZ468" s="948">
        <f t="shared" si="1195"/>
        <v>214.35399999999998</v>
      </c>
      <c r="BA468" s="948">
        <f t="shared" si="1196"/>
        <v>0</v>
      </c>
      <c r="BB468" s="948">
        <f t="shared" si="1197"/>
        <v>0</v>
      </c>
      <c r="BC468" s="957">
        <f t="shared" si="1198"/>
        <v>1.5786666666666667</v>
      </c>
      <c r="BD468" s="957">
        <f t="shared" si="1198"/>
        <v>1.5786666666666667</v>
      </c>
      <c r="BE468" s="957">
        <f t="shared" si="1198"/>
        <v>1.5786666666666667</v>
      </c>
      <c r="BF468" s="957">
        <f t="shared" si="1198"/>
        <v>1.5786666666666667</v>
      </c>
      <c r="BG468" s="957">
        <f t="shared" si="1198"/>
        <v>1.5786666666666667</v>
      </c>
      <c r="BH468" s="957">
        <f t="shared" si="1198"/>
        <v>1.5786666666666667</v>
      </c>
      <c r="BI468" s="957">
        <f t="shared" si="1198"/>
        <v>0.39466666666666667</v>
      </c>
      <c r="BJ468" s="957">
        <f t="shared" si="1198"/>
        <v>0</v>
      </c>
      <c r="BK468" s="957">
        <f t="shared" si="1198"/>
        <v>0</v>
      </c>
      <c r="BL468" s="948">
        <f t="shared" si="1199"/>
        <v>27.153066666666664</v>
      </c>
      <c r="BM468" s="948">
        <f t="shared" si="1199"/>
        <v>27.153066666666664</v>
      </c>
      <c r="BN468" s="948">
        <f t="shared" si="1199"/>
        <v>23.717888000000002</v>
      </c>
      <c r="BO468" s="948">
        <f t="shared" si="1199"/>
        <v>23.717888000000002</v>
      </c>
      <c r="BP468" s="948">
        <f t="shared" si="1199"/>
        <v>27.153066666666664</v>
      </c>
      <c r="BQ468" s="948">
        <f t="shared" si="1199"/>
        <v>27.153066666666664</v>
      </c>
      <c r="BR468" s="948">
        <f t="shared" si="1199"/>
        <v>84.598378666666662</v>
      </c>
      <c r="BS468" s="948">
        <f t="shared" si="1200"/>
        <v>0</v>
      </c>
      <c r="BT468" s="955">
        <f t="shared" si="1201"/>
        <v>108.10710751722071</v>
      </c>
    </row>
    <row r="469" spans="1:72">
      <c r="A469" s="952">
        <v>2</v>
      </c>
      <c r="B469" s="952" t="s">
        <v>1188</v>
      </c>
      <c r="C469" s="950" t="s">
        <v>1189</v>
      </c>
      <c r="D469" s="950">
        <v>1</v>
      </c>
      <c r="E469" s="950">
        <v>1</v>
      </c>
      <c r="F469" s="948">
        <v>14</v>
      </c>
      <c r="G469" s="948">
        <v>0.3</v>
      </c>
      <c r="H469" s="948">
        <v>0.7</v>
      </c>
      <c r="I469" s="948">
        <v>0.12</v>
      </c>
      <c r="J469" s="948">
        <f t="shared" si="1175"/>
        <v>0.57999999999999996</v>
      </c>
      <c r="K469" s="948">
        <f t="shared" si="1202"/>
        <v>2.4359999999999999</v>
      </c>
      <c r="L469" s="948">
        <f t="shared" si="1203"/>
        <v>16.239999999999998</v>
      </c>
      <c r="M469" s="952"/>
      <c r="N469" s="950">
        <v>16</v>
      </c>
      <c r="O469" s="950">
        <v>16</v>
      </c>
      <c r="P469" s="950">
        <v>16</v>
      </c>
      <c r="Q469" s="950">
        <v>16</v>
      </c>
      <c r="R469" s="950">
        <v>16</v>
      </c>
      <c r="S469" s="950">
        <v>16</v>
      </c>
      <c r="T469" s="950">
        <v>8</v>
      </c>
      <c r="U469" s="950"/>
      <c r="V469" s="950"/>
      <c r="W469" s="950">
        <v>200</v>
      </c>
      <c r="X469" s="950">
        <v>100</v>
      </c>
      <c r="Y469" s="950">
        <v>100</v>
      </c>
      <c r="Z469" s="950">
        <v>4</v>
      </c>
      <c r="AA469" s="950">
        <v>4</v>
      </c>
      <c r="AB469" s="950">
        <v>2</v>
      </c>
      <c r="AC469" s="950">
        <v>2</v>
      </c>
      <c r="AD469" s="950">
        <v>4</v>
      </c>
      <c r="AE469" s="950">
        <v>4</v>
      </c>
      <c r="AF469" s="955">
        <f t="shared" si="1177"/>
        <v>18.5</v>
      </c>
      <c r="AG469" s="955">
        <f t="shared" si="1178"/>
        <v>71</v>
      </c>
      <c r="AH469" s="955">
        <f t="shared" si="1179"/>
        <v>36</v>
      </c>
      <c r="AI469" s="955">
        <v>0</v>
      </c>
      <c r="AJ469" s="955">
        <v>0</v>
      </c>
      <c r="AK469" s="948">
        <f t="shared" si="1180"/>
        <v>4.3</v>
      </c>
      <c r="AL469" s="948">
        <f t="shared" si="1181"/>
        <v>4.3</v>
      </c>
      <c r="AM469" s="948">
        <f t="shared" si="1182"/>
        <v>7.5120000000000005</v>
      </c>
      <c r="AN469" s="948">
        <f t="shared" si="1183"/>
        <v>7.5120000000000005</v>
      </c>
      <c r="AO469" s="948">
        <f t="shared" si="1184"/>
        <v>4.3</v>
      </c>
      <c r="AP469" s="948">
        <f t="shared" si="1185"/>
        <v>4.3</v>
      </c>
      <c r="AQ469" s="948">
        <f t="shared" si="1186"/>
        <v>1.8080000000000001</v>
      </c>
      <c r="AR469" s="948">
        <f t="shared" si="1187"/>
        <v>0</v>
      </c>
      <c r="AS469" s="948">
        <f t="shared" si="1188"/>
        <v>0</v>
      </c>
      <c r="AT469" s="948">
        <f t="shared" si="1189"/>
        <v>17.2</v>
      </c>
      <c r="AU469" s="948">
        <f t="shared" si="1190"/>
        <v>17.2</v>
      </c>
      <c r="AV469" s="948">
        <f t="shared" si="1191"/>
        <v>15.024000000000001</v>
      </c>
      <c r="AW469" s="948">
        <f t="shared" si="1192"/>
        <v>15.024000000000001</v>
      </c>
      <c r="AX469" s="948">
        <f t="shared" si="1193"/>
        <v>17.2</v>
      </c>
      <c r="AY469" s="948">
        <f t="shared" si="1194"/>
        <v>17.2</v>
      </c>
      <c r="AZ469" s="948">
        <f t="shared" si="1195"/>
        <v>226.904</v>
      </c>
      <c r="BA469" s="948">
        <f t="shared" si="1196"/>
        <v>0</v>
      </c>
      <c r="BB469" s="948">
        <f t="shared" si="1197"/>
        <v>0</v>
      </c>
      <c r="BC469" s="957">
        <f t="shared" si="1198"/>
        <v>1.5786666666666667</v>
      </c>
      <c r="BD469" s="957">
        <f t="shared" si="1198"/>
        <v>1.5786666666666667</v>
      </c>
      <c r="BE469" s="957">
        <f t="shared" si="1198"/>
        <v>1.5786666666666667</v>
      </c>
      <c r="BF469" s="957">
        <f t="shared" si="1198"/>
        <v>1.5786666666666667</v>
      </c>
      <c r="BG469" s="957">
        <f t="shared" si="1198"/>
        <v>1.5786666666666667</v>
      </c>
      <c r="BH469" s="957">
        <f t="shared" si="1198"/>
        <v>1.5786666666666667</v>
      </c>
      <c r="BI469" s="957">
        <f t="shared" si="1198"/>
        <v>0.39466666666666667</v>
      </c>
      <c r="BJ469" s="957">
        <f t="shared" si="1198"/>
        <v>0</v>
      </c>
      <c r="BK469" s="957">
        <f t="shared" si="1198"/>
        <v>0</v>
      </c>
      <c r="BL469" s="948">
        <f t="shared" si="1199"/>
        <v>27.153066666666664</v>
      </c>
      <c r="BM469" s="948">
        <f t="shared" si="1199"/>
        <v>27.153066666666664</v>
      </c>
      <c r="BN469" s="948">
        <f t="shared" si="1199"/>
        <v>23.717888000000002</v>
      </c>
      <c r="BO469" s="948">
        <f t="shared" si="1199"/>
        <v>23.717888000000002</v>
      </c>
      <c r="BP469" s="948">
        <f t="shared" si="1199"/>
        <v>27.153066666666664</v>
      </c>
      <c r="BQ469" s="948">
        <f t="shared" si="1199"/>
        <v>27.153066666666664</v>
      </c>
      <c r="BR469" s="948">
        <f t="shared" si="1199"/>
        <v>89.551445333333334</v>
      </c>
      <c r="BS469" s="948">
        <f t="shared" si="1200"/>
        <v>0</v>
      </c>
      <c r="BT469" s="955">
        <f t="shared" si="1201"/>
        <v>100.8208078817734</v>
      </c>
    </row>
    <row r="470" spans="1:72">
      <c r="A470" s="952">
        <v>3</v>
      </c>
      <c r="B470" s="952" t="s">
        <v>1170</v>
      </c>
      <c r="C470" s="950" t="s">
        <v>1190</v>
      </c>
      <c r="D470" s="950">
        <v>1</v>
      </c>
      <c r="E470" s="950">
        <v>1</v>
      </c>
      <c r="F470" s="948">
        <v>32</v>
      </c>
      <c r="G470" s="948">
        <v>0.3</v>
      </c>
      <c r="H470" s="948">
        <v>0.65</v>
      </c>
      <c r="I470" s="948">
        <v>0.12</v>
      </c>
      <c r="J470" s="948">
        <f t="shared" si="1175"/>
        <v>0.53</v>
      </c>
      <c r="K470" s="948">
        <f t="shared" si="1202"/>
        <v>5.0880000000000001</v>
      </c>
      <c r="L470" s="948">
        <f t="shared" si="1203"/>
        <v>33.92</v>
      </c>
      <c r="M470" s="952"/>
      <c r="N470" s="950">
        <v>16</v>
      </c>
      <c r="O470" s="950">
        <v>16</v>
      </c>
      <c r="P470" s="950">
        <v>16</v>
      </c>
      <c r="Q470" s="950">
        <v>16</v>
      </c>
      <c r="R470" s="950">
        <v>16</v>
      </c>
      <c r="S470" s="950">
        <v>16</v>
      </c>
      <c r="T470" s="950">
        <v>8</v>
      </c>
      <c r="U470" s="950"/>
      <c r="V470" s="950"/>
      <c r="W470" s="950">
        <v>200</v>
      </c>
      <c r="X470" s="950">
        <v>100</v>
      </c>
      <c r="Y470" s="950">
        <v>100</v>
      </c>
      <c r="Z470" s="950">
        <v>9</v>
      </c>
      <c r="AA470" s="950">
        <v>6</v>
      </c>
      <c r="AB470" s="950">
        <v>4</v>
      </c>
      <c r="AC470" s="950">
        <v>4</v>
      </c>
      <c r="AD470" s="950">
        <v>9</v>
      </c>
      <c r="AE470" s="950">
        <v>6</v>
      </c>
      <c r="AF470" s="955">
        <f t="shared" si="1177"/>
        <v>41</v>
      </c>
      <c r="AG470" s="955">
        <f t="shared" si="1178"/>
        <v>161</v>
      </c>
      <c r="AH470" s="955">
        <f t="shared" si="1179"/>
        <v>81</v>
      </c>
      <c r="AI470" s="955">
        <v>0</v>
      </c>
      <c r="AJ470" s="955">
        <v>0</v>
      </c>
      <c r="AK470" s="948">
        <f t="shared" si="1180"/>
        <v>8.8000000000000007</v>
      </c>
      <c r="AL470" s="948">
        <f t="shared" si="1181"/>
        <v>8.8000000000000007</v>
      </c>
      <c r="AM470" s="948">
        <f t="shared" si="1182"/>
        <v>16.512</v>
      </c>
      <c r="AN470" s="948">
        <f t="shared" si="1183"/>
        <v>16.512</v>
      </c>
      <c r="AO470" s="948">
        <f t="shared" si="1184"/>
        <v>8.8000000000000007</v>
      </c>
      <c r="AP470" s="948">
        <f t="shared" si="1185"/>
        <v>8.8000000000000007</v>
      </c>
      <c r="AQ470" s="948">
        <f t="shared" si="1186"/>
        <v>1.708</v>
      </c>
      <c r="AR470" s="948">
        <f t="shared" si="1187"/>
        <v>0</v>
      </c>
      <c r="AS470" s="948">
        <f t="shared" si="1188"/>
        <v>0</v>
      </c>
      <c r="AT470" s="948">
        <f t="shared" si="1189"/>
        <v>79.2</v>
      </c>
      <c r="AU470" s="948">
        <f t="shared" si="1190"/>
        <v>52.800000000000004</v>
      </c>
      <c r="AV470" s="948">
        <f t="shared" si="1191"/>
        <v>66.048000000000002</v>
      </c>
      <c r="AW470" s="948">
        <f t="shared" si="1192"/>
        <v>66.048000000000002</v>
      </c>
      <c r="AX470" s="948">
        <f t="shared" si="1193"/>
        <v>79.2</v>
      </c>
      <c r="AY470" s="948">
        <f t="shared" si="1194"/>
        <v>52.800000000000004</v>
      </c>
      <c r="AZ470" s="948">
        <f t="shared" si="1195"/>
        <v>483.36399999999998</v>
      </c>
      <c r="BA470" s="948">
        <f t="shared" si="1196"/>
        <v>0</v>
      </c>
      <c r="BB470" s="948">
        <f t="shared" si="1197"/>
        <v>0</v>
      </c>
      <c r="BC470" s="957">
        <f t="shared" si="1198"/>
        <v>1.5786666666666667</v>
      </c>
      <c r="BD470" s="957">
        <f t="shared" si="1198"/>
        <v>1.5786666666666667</v>
      </c>
      <c r="BE470" s="957">
        <f t="shared" si="1198"/>
        <v>1.5786666666666667</v>
      </c>
      <c r="BF470" s="957">
        <f t="shared" si="1198"/>
        <v>1.5786666666666667</v>
      </c>
      <c r="BG470" s="957">
        <f t="shared" si="1198"/>
        <v>1.5786666666666667</v>
      </c>
      <c r="BH470" s="957">
        <f t="shared" si="1198"/>
        <v>1.5786666666666667</v>
      </c>
      <c r="BI470" s="957">
        <f t="shared" si="1198"/>
        <v>0.39466666666666667</v>
      </c>
      <c r="BJ470" s="957">
        <f t="shared" si="1198"/>
        <v>0</v>
      </c>
      <c r="BK470" s="957">
        <f t="shared" si="1198"/>
        <v>0</v>
      </c>
      <c r="BL470" s="948">
        <f t="shared" si="1199"/>
        <v>125.0304</v>
      </c>
      <c r="BM470" s="948">
        <f t="shared" si="1199"/>
        <v>83.3536</v>
      </c>
      <c r="BN470" s="948">
        <f t="shared" si="1199"/>
        <v>104.267776</v>
      </c>
      <c r="BO470" s="948">
        <f t="shared" si="1199"/>
        <v>104.267776</v>
      </c>
      <c r="BP470" s="948">
        <f t="shared" si="1199"/>
        <v>125.0304</v>
      </c>
      <c r="BQ470" s="948">
        <f t="shared" si="1199"/>
        <v>83.3536</v>
      </c>
      <c r="BR470" s="948">
        <f t="shared" si="1199"/>
        <v>190.76765866666665</v>
      </c>
      <c r="BS470" s="948">
        <f t="shared" si="1200"/>
        <v>0</v>
      </c>
      <c r="BT470" s="955">
        <f t="shared" si="1201"/>
        <v>160.39135429769394</v>
      </c>
    </row>
    <row r="471" spans="1:72">
      <c r="A471" s="952">
        <v>4</v>
      </c>
      <c r="B471" s="952" t="s">
        <v>1183</v>
      </c>
      <c r="C471" s="950" t="s">
        <v>1191</v>
      </c>
      <c r="D471" s="950">
        <v>1</v>
      </c>
      <c r="E471" s="950">
        <v>1</v>
      </c>
      <c r="F471" s="948">
        <v>24</v>
      </c>
      <c r="G471" s="948">
        <v>0.3</v>
      </c>
      <c r="H471" s="948">
        <v>0.65</v>
      </c>
      <c r="I471" s="948">
        <v>0.12</v>
      </c>
      <c r="J471" s="948">
        <f t="shared" si="1175"/>
        <v>0.53</v>
      </c>
      <c r="K471" s="948">
        <f t="shared" si="1202"/>
        <v>3.8159999999999998</v>
      </c>
      <c r="L471" s="948">
        <f t="shared" si="1203"/>
        <v>25.44</v>
      </c>
      <c r="M471" s="952"/>
      <c r="N471" s="950">
        <v>25</v>
      </c>
      <c r="O471" s="950">
        <v>25</v>
      </c>
      <c r="P471" s="950">
        <v>25</v>
      </c>
      <c r="Q471" s="950">
        <v>25</v>
      </c>
      <c r="R471" s="950">
        <v>25</v>
      </c>
      <c r="S471" s="950">
        <v>25</v>
      </c>
      <c r="T471" s="950">
        <v>8</v>
      </c>
      <c r="U471" s="950"/>
      <c r="V471" s="950"/>
      <c r="W471" s="950">
        <v>200</v>
      </c>
      <c r="X471" s="950">
        <v>100</v>
      </c>
      <c r="Y471" s="950">
        <v>100</v>
      </c>
      <c r="Z471" s="950">
        <v>9</v>
      </c>
      <c r="AA471" s="950">
        <v>6</v>
      </c>
      <c r="AB471" s="950">
        <v>4</v>
      </c>
      <c r="AC471" s="950">
        <v>4</v>
      </c>
      <c r="AD471" s="950">
        <v>9</v>
      </c>
      <c r="AE471" s="950">
        <v>6</v>
      </c>
      <c r="AF471" s="955">
        <f t="shared" si="1177"/>
        <v>31</v>
      </c>
      <c r="AG471" s="955">
        <f t="shared" si="1178"/>
        <v>121</v>
      </c>
      <c r="AH471" s="955">
        <f t="shared" si="1179"/>
        <v>61</v>
      </c>
      <c r="AI471" s="955">
        <v>0</v>
      </c>
      <c r="AJ471" s="955">
        <v>0</v>
      </c>
      <c r="AK471" s="948">
        <f t="shared" si="1180"/>
        <v>7.25</v>
      </c>
      <c r="AL471" s="948">
        <f t="shared" si="1181"/>
        <v>7.25</v>
      </c>
      <c r="AM471" s="948">
        <f t="shared" si="1182"/>
        <v>12.8</v>
      </c>
      <c r="AN471" s="948">
        <f t="shared" si="1183"/>
        <v>12.8</v>
      </c>
      <c r="AO471" s="948">
        <f t="shared" si="1184"/>
        <v>7.25</v>
      </c>
      <c r="AP471" s="948">
        <f t="shared" si="1185"/>
        <v>7.25</v>
      </c>
      <c r="AQ471" s="948">
        <f t="shared" si="1186"/>
        <v>1.708</v>
      </c>
      <c r="AR471" s="948">
        <f t="shared" si="1187"/>
        <v>0</v>
      </c>
      <c r="AS471" s="948">
        <f t="shared" si="1188"/>
        <v>0</v>
      </c>
      <c r="AT471" s="948">
        <f t="shared" si="1189"/>
        <v>65.25</v>
      </c>
      <c r="AU471" s="948">
        <f t="shared" si="1190"/>
        <v>43.5</v>
      </c>
      <c r="AV471" s="948">
        <f t="shared" si="1191"/>
        <v>51.2</v>
      </c>
      <c r="AW471" s="948">
        <f t="shared" si="1192"/>
        <v>51.2</v>
      </c>
      <c r="AX471" s="948">
        <f t="shared" si="1193"/>
        <v>65.25</v>
      </c>
      <c r="AY471" s="948">
        <f t="shared" si="1194"/>
        <v>43.5</v>
      </c>
      <c r="AZ471" s="948">
        <f t="shared" si="1195"/>
        <v>363.80399999999997</v>
      </c>
      <c r="BA471" s="948">
        <f t="shared" si="1196"/>
        <v>0</v>
      </c>
      <c r="BB471" s="948">
        <f t="shared" si="1197"/>
        <v>0</v>
      </c>
      <c r="BC471" s="957">
        <f t="shared" si="1198"/>
        <v>3.8541666666666665</v>
      </c>
      <c r="BD471" s="957">
        <f t="shared" si="1198"/>
        <v>3.8541666666666665</v>
      </c>
      <c r="BE471" s="957">
        <f t="shared" si="1198"/>
        <v>3.8541666666666665</v>
      </c>
      <c r="BF471" s="957">
        <f t="shared" si="1198"/>
        <v>3.8541666666666665</v>
      </c>
      <c r="BG471" s="957">
        <f t="shared" si="1198"/>
        <v>3.8541666666666665</v>
      </c>
      <c r="BH471" s="957">
        <f t="shared" si="1198"/>
        <v>3.8541666666666665</v>
      </c>
      <c r="BI471" s="957">
        <f t="shared" si="1198"/>
        <v>0.39466666666666667</v>
      </c>
      <c r="BJ471" s="957">
        <f t="shared" si="1198"/>
        <v>0</v>
      </c>
      <c r="BK471" s="957">
        <f t="shared" si="1198"/>
        <v>0</v>
      </c>
      <c r="BL471" s="948">
        <f t="shared" si="1199"/>
        <v>251.484375</v>
      </c>
      <c r="BM471" s="948">
        <f t="shared" si="1199"/>
        <v>167.65625</v>
      </c>
      <c r="BN471" s="948">
        <f t="shared" si="1199"/>
        <v>197.33333333333334</v>
      </c>
      <c r="BO471" s="948">
        <f t="shared" si="1199"/>
        <v>197.33333333333334</v>
      </c>
      <c r="BP471" s="948">
        <f t="shared" si="1199"/>
        <v>251.484375</v>
      </c>
      <c r="BQ471" s="948">
        <f t="shared" si="1199"/>
        <v>167.65625</v>
      </c>
      <c r="BR471" s="948">
        <f t="shared" si="1199"/>
        <v>143.581312</v>
      </c>
      <c r="BS471" s="948">
        <f t="shared" si="1200"/>
        <v>0</v>
      </c>
      <c r="BT471" s="955">
        <f t="shared" si="1201"/>
        <v>360.72568885394833</v>
      </c>
    </row>
    <row r="472" spans="1:72">
      <c r="A472" s="952">
        <v>5</v>
      </c>
      <c r="B472" s="952" t="s">
        <v>1173</v>
      </c>
      <c r="C472" s="950" t="s">
        <v>1174</v>
      </c>
      <c r="D472" s="950">
        <v>1</v>
      </c>
      <c r="E472" s="950">
        <v>1</v>
      </c>
      <c r="F472" s="948">
        <v>5.4</v>
      </c>
      <c r="G472" s="948">
        <v>0.3</v>
      </c>
      <c r="H472" s="948">
        <v>0.65</v>
      </c>
      <c r="I472" s="948">
        <v>0.12</v>
      </c>
      <c r="J472" s="948">
        <f t="shared" si="1175"/>
        <v>0.53</v>
      </c>
      <c r="K472" s="948">
        <f t="shared" si="1202"/>
        <v>0.85860000000000014</v>
      </c>
      <c r="L472" s="948">
        <f t="shared" si="1203"/>
        <v>5.7240000000000011</v>
      </c>
      <c r="M472" s="952"/>
      <c r="N472" s="950">
        <v>16</v>
      </c>
      <c r="O472" s="950">
        <v>16</v>
      </c>
      <c r="P472" s="950">
        <v>16</v>
      </c>
      <c r="Q472" s="950">
        <v>16</v>
      </c>
      <c r="R472" s="950">
        <v>16</v>
      </c>
      <c r="S472" s="950">
        <v>16</v>
      </c>
      <c r="T472" s="950">
        <v>8</v>
      </c>
      <c r="U472" s="950"/>
      <c r="V472" s="950"/>
      <c r="W472" s="950">
        <v>200</v>
      </c>
      <c r="X472" s="950">
        <v>100</v>
      </c>
      <c r="Y472" s="950">
        <v>100</v>
      </c>
      <c r="Z472" s="950">
        <v>9</v>
      </c>
      <c r="AA472" s="950">
        <v>6</v>
      </c>
      <c r="AB472" s="950">
        <v>4</v>
      </c>
      <c r="AC472" s="950">
        <v>4</v>
      </c>
      <c r="AD472" s="950">
        <v>9</v>
      </c>
      <c r="AE472" s="950">
        <v>6</v>
      </c>
      <c r="AF472" s="955">
        <f t="shared" si="1177"/>
        <v>7.75</v>
      </c>
      <c r="AG472" s="955">
        <f t="shared" si="1178"/>
        <v>28</v>
      </c>
      <c r="AH472" s="955">
        <f t="shared" si="1179"/>
        <v>14.5</v>
      </c>
      <c r="AI472" s="955">
        <v>0</v>
      </c>
      <c r="AJ472" s="955">
        <v>0</v>
      </c>
      <c r="AK472" s="948">
        <f t="shared" si="1180"/>
        <v>2.1500000000000004</v>
      </c>
      <c r="AL472" s="948">
        <f t="shared" si="1181"/>
        <v>2.1500000000000004</v>
      </c>
      <c r="AM472" s="948">
        <f t="shared" si="1182"/>
        <v>3.2120000000000002</v>
      </c>
      <c r="AN472" s="948">
        <f t="shared" si="1183"/>
        <v>3.2120000000000002</v>
      </c>
      <c r="AO472" s="948">
        <f t="shared" si="1184"/>
        <v>2.1500000000000004</v>
      </c>
      <c r="AP472" s="948">
        <f t="shared" si="1185"/>
        <v>2.1500000000000004</v>
      </c>
      <c r="AQ472" s="948">
        <f t="shared" si="1186"/>
        <v>1.708</v>
      </c>
      <c r="AR472" s="948">
        <f t="shared" si="1187"/>
        <v>0</v>
      </c>
      <c r="AS472" s="948">
        <f t="shared" si="1188"/>
        <v>0</v>
      </c>
      <c r="AT472" s="948">
        <f t="shared" si="1189"/>
        <v>19.350000000000001</v>
      </c>
      <c r="AU472" s="948">
        <f t="shared" si="1190"/>
        <v>12.900000000000002</v>
      </c>
      <c r="AV472" s="948">
        <f t="shared" si="1191"/>
        <v>12.848000000000001</v>
      </c>
      <c r="AW472" s="948">
        <f t="shared" si="1192"/>
        <v>12.848000000000001</v>
      </c>
      <c r="AX472" s="948">
        <f t="shared" si="1193"/>
        <v>19.350000000000001</v>
      </c>
      <c r="AY472" s="948">
        <f t="shared" si="1194"/>
        <v>12.900000000000002</v>
      </c>
      <c r="AZ472" s="948">
        <f t="shared" si="1195"/>
        <v>85.826999999999998</v>
      </c>
      <c r="BA472" s="948">
        <f t="shared" si="1196"/>
        <v>0</v>
      </c>
      <c r="BB472" s="948">
        <f t="shared" si="1197"/>
        <v>0</v>
      </c>
      <c r="BC472" s="957">
        <f t="shared" si="1198"/>
        <v>1.5786666666666667</v>
      </c>
      <c r="BD472" s="957">
        <f t="shared" si="1198"/>
        <v>1.5786666666666667</v>
      </c>
      <c r="BE472" s="957">
        <f t="shared" si="1198"/>
        <v>1.5786666666666667</v>
      </c>
      <c r="BF472" s="957">
        <f t="shared" si="1198"/>
        <v>1.5786666666666667</v>
      </c>
      <c r="BG472" s="957">
        <f t="shared" si="1198"/>
        <v>1.5786666666666667</v>
      </c>
      <c r="BH472" s="957">
        <f t="shared" si="1198"/>
        <v>1.5786666666666667</v>
      </c>
      <c r="BI472" s="957">
        <f t="shared" si="1198"/>
        <v>0.39466666666666667</v>
      </c>
      <c r="BJ472" s="957">
        <f t="shared" si="1198"/>
        <v>0</v>
      </c>
      <c r="BK472" s="957">
        <f t="shared" si="1198"/>
        <v>0</v>
      </c>
      <c r="BL472" s="948">
        <f t="shared" si="1199"/>
        <v>30.547200000000004</v>
      </c>
      <c r="BM472" s="948">
        <f t="shared" si="1199"/>
        <v>20.364800000000002</v>
      </c>
      <c r="BN472" s="948">
        <f t="shared" si="1199"/>
        <v>20.282709333333333</v>
      </c>
      <c r="BO472" s="948">
        <f t="shared" si="1199"/>
        <v>20.282709333333333</v>
      </c>
      <c r="BP472" s="948">
        <f t="shared" si="1199"/>
        <v>30.547200000000004</v>
      </c>
      <c r="BQ472" s="948">
        <f t="shared" si="1199"/>
        <v>20.364800000000002</v>
      </c>
      <c r="BR472" s="948">
        <f t="shared" si="1199"/>
        <v>33.873055999999998</v>
      </c>
      <c r="BS472" s="948">
        <f t="shared" si="1200"/>
        <v>0</v>
      </c>
      <c r="BT472" s="955">
        <f t="shared" si="1201"/>
        <v>205.29055982607341</v>
      </c>
    </row>
    <row r="473" spans="1:72">
      <c r="A473" s="952">
        <v>6</v>
      </c>
      <c r="B473" s="952" t="s">
        <v>1192</v>
      </c>
      <c r="C473" s="950" t="s">
        <v>1193</v>
      </c>
      <c r="D473" s="950">
        <v>1</v>
      </c>
      <c r="E473" s="950">
        <v>1</v>
      </c>
      <c r="F473" s="948">
        <v>14</v>
      </c>
      <c r="G473" s="948">
        <v>0.3</v>
      </c>
      <c r="H473" s="948">
        <v>0.7</v>
      </c>
      <c r="I473" s="948">
        <v>0.12</v>
      </c>
      <c r="J473" s="948">
        <f t="shared" si="1175"/>
        <v>0.57999999999999996</v>
      </c>
      <c r="K473" s="948">
        <f t="shared" si="1202"/>
        <v>2.4359999999999999</v>
      </c>
      <c r="L473" s="948">
        <f t="shared" si="1203"/>
        <v>16.239999999999998</v>
      </c>
      <c r="M473" s="952"/>
      <c r="N473" s="950">
        <v>25</v>
      </c>
      <c r="O473" s="950">
        <v>25</v>
      </c>
      <c r="P473" s="950">
        <v>25</v>
      </c>
      <c r="Q473" s="950">
        <v>25</v>
      </c>
      <c r="R473" s="950">
        <v>25</v>
      </c>
      <c r="S473" s="950">
        <v>25</v>
      </c>
      <c r="T473" s="950">
        <v>8</v>
      </c>
      <c r="U473" s="950"/>
      <c r="V473" s="950"/>
      <c r="W473" s="950">
        <v>200</v>
      </c>
      <c r="X473" s="950">
        <v>100</v>
      </c>
      <c r="Y473" s="950">
        <v>100</v>
      </c>
      <c r="Z473" s="950">
        <v>9</v>
      </c>
      <c r="AA473" s="950">
        <v>6</v>
      </c>
      <c r="AB473" s="950">
        <v>4</v>
      </c>
      <c r="AC473" s="950">
        <v>4</v>
      </c>
      <c r="AD473" s="950">
        <v>9</v>
      </c>
      <c r="AE473" s="950">
        <v>6</v>
      </c>
      <c r="AF473" s="955">
        <f t="shared" si="1177"/>
        <v>18.5</v>
      </c>
      <c r="AG473" s="955">
        <f t="shared" si="1178"/>
        <v>71</v>
      </c>
      <c r="AH473" s="955">
        <f t="shared" si="1179"/>
        <v>36</v>
      </c>
      <c r="AI473" s="955">
        <v>0</v>
      </c>
      <c r="AJ473" s="955">
        <v>0</v>
      </c>
      <c r="AK473" s="948">
        <f t="shared" si="1180"/>
        <v>4.75</v>
      </c>
      <c r="AL473" s="948">
        <f t="shared" si="1181"/>
        <v>4.75</v>
      </c>
      <c r="AM473" s="948">
        <f t="shared" si="1182"/>
        <v>7.8</v>
      </c>
      <c r="AN473" s="948">
        <f t="shared" si="1183"/>
        <v>7.8</v>
      </c>
      <c r="AO473" s="948">
        <f t="shared" si="1184"/>
        <v>4.75</v>
      </c>
      <c r="AP473" s="948">
        <f t="shared" si="1185"/>
        <v>4.75</v>
      </c>
      <c r="AQ473" s="948">
        <f t="shared" si="1186"/>
        <v>1.8080000000000001</v>
      </c>
      <c r="AR473" s="948">
        <f t="shared" si="1187"/>
        <v>0</v>
      </c>
      <c r="AS473" s="948">
        <f t="shared" si="1188"/>
        <v>0</v>
      </c>
      <c r="AT473" s="948">
        <f t="shared" si="1189"/>
        <v>42.75</v>
      </c>
      <c r="AU473" s="948">
        <f t="shared" si="1190"/>
        <v>28.5</v>
      </c>
      <c r="AV473" s="948">
        <f t="shared" si="1191"/>
        <v>31.2</v>
      </c>
      <c r="AW473" s="948">
        <f t="shared" si="1192"/>
        <v>31.2</v>
      </c>
      <c r="AX473" s="948">
        <f t="shared" si="1193"/>
        <v>42.75</v>
      </c>
      <c r="AY473" s="948">
        <f t="shared" si="1194"/>
        <v>28.5</v>
      </c>
      <c r="AZ473" s="948">
        <f t="shared" si="1195"/>
        <v>226.904</v>
      </c>
      <c r="BA473" s="948">
        <f t="shared" si="1196"/>
        <v>0</v>
      </c>
      <c r="BB473" s="948">
        <f t="shared" si="1197"/>
        <v>0</v>
      </c>
      <c r="BC473" s="957">
        <f t="shared" si="1198"/>
        <v>3.8541666666666665</v>
      </c>
      <c r="BD473" s="957">
        <f t="shared" si="1198"/>
        <v>3.8541666666666665</v>
      </c>
      <c r="BE473" s="957">
        <f t="shared" si="1198"/>
        <v>3.8541666666666665</v>
      </c>
      <c r="BF473" s="957">
        <f t="shared" si="1198"/>
        <v>3.8541666666666665</v>
      </c>
      <c r="BG473" s="957">
        <f t="shared" si="1198"/>
        <v>3.8541666666666665</v>
      </c>
      <c r="BH473" s="957">
        <f t="shared" si="1198"/>
        <v>3.8541666666666665</v>
      </c>
      <c r="BI473" s="957">
        <f t="shared" si="1198"/>
        <v>0.39466666666666667</v>
      </c>
      <c r="BJ473" s="957">
        <f t="shared" si="1198"/>
        <v>0</v>
      </c>
      <c r="BK473" s="957">
        <f t="shared" si="1198"/>
        <v>0</v>
      </c>
      <c r="BL473" s="948">
        <f t="shared" si="1199"/>
        <v>164.765625</v>
      </c>
      <c r="BM473" s="948">
        <f t="shared" si="1199"/>
        <v>109.84375</v>
      </c>
      <c r="BN473" s="948">
        <f t="shared" si="1199"/>
        <v>120.24999999999999</v>
      </c>
      <c r="BO473" s="948">
        <f t="shared" si="1199"/>
        <v>120.24999999999999</v>
      </c>
      <c r="BP473" s="948">
        <f t="shared" si="1199"/>
        <v>164.765625</v>
      </c>
      <c r="BQ473" s="948">
        <f t="shared" si="1199"/>
        <v>109.84375</v>
      </c>
      <c r="BR473" s="948">
        <f t="shared" si="1199"/>
        <v>89.551445333333334</v>
      </c>
      <c r="BS473" s="948">
        <f t="shared" si="1200"/>
        <v>0</v>
      </c>
      <c r="BT473" s="955">
        <f t="shared" si="1201"/>
        <v>360.94835604816637</v>
      </c>
    </row>
    <row r="474" spans="1:72">
      <c r="A474" s="952">
        <v>7</v>
      </c>
      <c r="B474" s="952" t="s">
        <v>1177</v>
      </c>
      <c r="C474" s="950" t="s">
        <v>1099</v>
      </c>
      <c r="D474" s="950">
        <v>1</v>
      </c>
      <c r="E474" s="950">
        <v>1</v>
      </c>
      <c r="F474" s="948">
        <v>4.75</v>
      </c>
      <c r="G474" s="948">
        <v>0.25</v>
      </c>
      <c r="H474" s="948">
        <v>0.6</v>
      </c>
      <c r="I474" s="948">
        <v>0.12</v>
      </c>
      <c r="J474" s="948">
        <v>0.48</v>
      </c>
      <c r="K474" s="948">
        <v>0.64800000000000002</v>
      </c>
      <c r="L474" s="948">
        <v>5.1840000000000002</v>
      </c>
      <c r="M474" s="952"/>
      <c r="N474" s="950">
        <v>16</v>
      </c>
      <c r="O474" s="950">
        <v>16</v>
      </c>
      <c r="P474" s="950">
        <v>16</v>
      </c>
      <c r="Q474" s="950">
        <v>16</v>
      </c>
      <c r="R474" s="950">
        <v>16</v>
      </c>
      <c r="S474" s="950">
        <v>16</v>
      </c>
      <c r="T474" s="950">
        <v>8</v>
      </c>
      <c r="U474" s="950"/>
      <c r="V474" s="950"/>
      <c r="W474" s="950">
        <v>200</v>
      </c>
      <c r="X474" s="950">
        <v>100</v>
      </c>
      <c r="Y474" s="950">
        <v>100</v>
      </c>
      <c r="Z474" s="950">
        <v>9</v>
      </c>
      <c r="AA474" s="950">
        <v>6</v>
      </c>
      <c r="AB474" s="950">
        <v>4</v>
      </c>
      <c r="AC474" s="950">
        <v>4</v>
      </c>
      <c r="AD474" s="950">
        <v>9</v>
      </c>
      <c r="AE474" s="950">
        <v>6</v>
      </c>
      <c r="AF474" s="955">
        <v>7.75</v>
      </c>
      <c r="AG474" s="955">
        <v>28</v>
      </c>
      <c r="AH474" s="955">
        <v>14.5</v>
      </c>
      <c r="AI474" s="955">
        <v>0</v>
      </c>
      <c r="AJ474" s="955">
        <v>0</v>
      </c>
      <c r="AK474" s="948">
        <v>2.1500000000000004</v>
      </c>
      <c r="AL474" s="948">
        <v>2.1500000000000004</v>
      </c>
      <c r="AM474" s="948">
        <v>3.2120000000000002</v>
      </c>
      <c r="AN474" s="948">
        <v>3.2120000000000002</v>
      </c>
      <c r="AO474" s="948">
        <v>2.1500000000000004</v>
      </c>
      <c r="AP474" s="948">
        <v>2.1500000000000004</v>
      </c>
      <c r="AQ474" s="948">
        <v>1.508</v>
      </c>
      <c r="AR474" s="948">
        <v>0</v>
      </c>
      <c r="AS474" s="948">
        <v>0</v>
      </c>
      <c r="AT474" s="948">
        <v>19.350000000000001</v>
      </c>
      <c r="AU474" s="948">
        <v>12.900000000000002</v>
      </c>
      <c r="AV474" s="948">
        <v>12.848000000000001</v>
      </c>
      <c r="AW474" s="948">
        <v>12.848000000000001</v>
      </c>
      <c r="AX474" s="948">
        <v>19.350000000000001</v>
      </c>
      <c r="AY474" s="948">
        <v>12.900000000000002</v>
      </c>
      <c r="AZ474" s="948">
        <v>75.777000000000001</v>
      </c>
      <c r="BA474" s="948">
        <v>0</v>
      </c>
      <c r="BB474" s="948">
        <v>0</v>
      </c>
      <c r="BC474" s="957">
        <v>1.5786666666666667</v>
      </c>
      <c r="BD474" s="957">
        <v>1.5786666666666667</v>
      </c>
      <c r="BE474" s="957">
        <v>1.5786666666666667</v>
      </c>
      <c r="BF474" s="957">
        <v>1.5786666666666667</v>
      </c>
      <c r="BG474" s="957">
        <v>1.5786666666666667</v>
      </c>
      <c r="BH474" s="957">
        <v>1.5786666666666667</v>
      </c>
      <c r="BI474" s="957">
        <v>0.39466666666666667</v>
      </c>
      <c r="BJ474" s="957">
        <v>0</v>
      </c>
      <c r="BK474" s="957">
        <v>0</v>
      </c>
      <c r="BL474" s="948">
        <v>30.547200000000004</v>
      </c>
      <c r="BM474" s="948">
        <v>20.364800000000002</v>
      </c>
      <c r="BN474" s="948">
        <v>20.282709333333333</v>
      </c>
      <c r="BO474" s="948">
        <v>20.282709333333333</v>
      </c>
      <c r="BP474" s="948">
        <v>30.547200000000004</v>
      </c>
      <c r="BQ474" s="948">
        <v>20.364800000000002</v>
      </c>
      <c r="BR474" s="948">
        <v>29.906656000000002</v>
      </c>
      <c r="BS474" s="948">
        <v>0</v>
      </c>
      <c r="BT474" s="955">
        <v>265.88900411522633</v>
      </c>
    </row>
    <row r="475" spans="1:72">
      <c r="A475" s="952">
        <v>8</v>
      </c>
      <c r="B475" s="952" t="s">
        <v>1179</v>
      </c>
      <c r="C475" s="950" t="s">
        <v>1125</v>
      </c>
      <c r="D475" s="950">
        <v>1</v>
      </c>
      <c r="E475" s="950">
        <v>1</v>
      </c>
      <c r="F475" s="948">
        <v>8</v>
      </c>
      <c r="G475" s="948">
        <v>0.3</v>
      </c>
      <c r="H475" s="948">
        <v>0.65</v>
      </c>
      <c r="I475" s="948">
        <v>0.12</v>
      </c>
      <c r="J475" s="948">
        <f t="shared" ref="J475:J478" si="1204">H475-I475</f>
        <v>0.53</v>
      </c>
      <c r="K475" s="948">
        <f t="shared" ref="K475:K478" si="1205">F475*G475*J475*D475*E475</f>
        <v>1.272</v>
      </c>
      <c r="L475" s="948">
        <f t="shared" ref="L475:L478" si="1206">(2*J475)*F475*E475*D475</f>
        <v>8.48</v>
      </c>
      <c r="M475" s="952"/>
      <c r="N475" s="950">
        <v>16</v>
      </c>
      <c r="O475" s="950">
        <v>16</v>
      </c>
      <c r="P475" s="950">
        <v>16</v>
      </c>
      <c r="Q475" s="950">
        <v>16</v>
      </c>
      <c r="R475" s="950">
        <v>16</v>
      </c>
      <c r="S475" s="950">
        <v>16</v>
      </c>
      <c r="T475" s="950">
        <v>8</v>
      </c>
      <c r="U475" s="950"/>
      <c r="V475" s="950"/>
      <c r="W475" s="950">
        <v>200</v>
      </c>
      <c r="X475" s="950">
        <v>100</v>
      </c>
      <c r="Y475" s="950">
        <v>100</v>
      </c>
      <c r="Z475" s="950">
        <v>9</v>
      </c>
      <c r="AA475" s="950">
        <v>6</v>
      </c>
      <c r="AB475" s="950">
        <v>4</v>
      </c>
      <c r="AC475" s="950">
        <v>4</v>
      </c>
      <c r="AD475" s="950">
        <v>9</v>
      </c>
      <c r="AE475" s="950">
        <v>6</v>
      </c>
      <c r="AF475" s="955">
        <f t="shared" ref="AF475:AF478" si="1207">(F475/4)/(W475/1000)+1</f>
        <v>11</v>
      </c>
      <c r="AG475" s="955">
        <f t="shared" ref="AG475:AG478" si="1208">(F475/2)/(X475/1000)+1</f>
        <v>41</v>
      </c>
      <c r="AH475" s="955">
        <f t="shared" ref="AH475:AH478" si="1209">(F475/4)/(Y475/1000)+1</f>
        <v>21</v>
      </c>
      <c r="AI475" s="955">
        <v>0</v>
      </c>
      <c r="AJ475" s="955">
        <v>0</v>
      </c>
      <c r="AK475" s="948">
        <f t="shared" ref="AK475:AK478" si="1210">(F475/4)+(20*N475/1000)+(10*N475/1000)+(8*N475/1000)+(6*2*N475/1000)</f>
        <v>2.8000000000000003</v>
      </c>
      <c r="AL475" s="948">
        <f t="shared" ref="AL475:AL478" si="1211">(F475/4)+(20*O475/1000)+(10*O475/1000)+(8*O475/1000)+(6*2*O475/1000)</f>
        <v>2.8000000000000003</v>
      </c>
      <c r="AM475" s="948">
        <f t="shared" ref="AM475:AM478" si="1212">(F475/2)+(20*P475/1000)+(6*2*P475/1000)</f>
        <v>4.5120000000000005</v>
      </c>
      <c r="AN475" s="948">
        <f t="shared" ref="AN475:AN478" si="1213">(F475/2)+(20*Q475/1000)+(6*2*Q475/1000)</f>
        <v>4.5120000000000005</v>
      </c>
      <c r="AO475" s="948">
        <f t="shared" ref="AO475:AO478" si="1214">(F475/4)+(20*R475/1000)+(10*R475/1000)+(8*R475/1000)+(6*2*R475/1000)</f>
        <v>2.8000000000000003</v>
      </c>
      <c r="AP475" s="948">
        <f t="shared" ref="AP475:AP478" si="1215">(F475/4)+(20*S475/1000)+(10*S475/1000)+(8*S475/1000)+(6*2*S475/1000)</f>
        <v>2.8000000000000003</v>
      </c>
      <c r="AQ475" s="948">
        <f t="shared" ref="AQ475:AQ478" si="1216">(2*G475)+(2*H475)+(6*T475/1000)-(8*0.03)</f>
        <v>1.708</v>
      </c>
      <c r="AR475" s="948">
        <f t="shared" ref="AR475:AR478" si="1217">((H475)+(2*6*U475/1000)-(2*0.03))*AI475</f>
        <v>0</v>
      </c>
      <c r="AS475" s="948">
        <f t="shared" ref="AS475:AS478" si="1218">((G475)+(2*6*V475/1000)-(2*0.03))*AJ475</f>
        <v>0</v>
      </c>
      <c r="AT475" s="948">
        <f t="shared" ref="AT475:AT478" si="1219">AK475*Z475*E475*D475</f>
        <v>25.200000000000003</v>
      </c>
      <c r="AU475" s="948">
        <f t="shared" ref="AU475:AU478" si="1220">AL475*AA475*E475*D475</f>
        <v>16.8</v>
      </c>
      <c r="AV475" s="948">
        <f t="shared" ref="AV475:AV478" si="1221">AM475*AB475*E475*D475</f>
        <v>18.048000000000002</v>
      </c>
      <c r="AW475" s="948">
        <f t="shared" ref="AW475:AW478" si="1222">AN475*AC475*E475*D475</f>
        <v>18.048000000000002</v>
      </c>
      <c r="AX475" s="948">
        <f t="shared" ref="AX475:AX478" si="1223">AO475*AD475*E475*D475</f>
        <v>25.200000000000003</v>
      </c>
      <c r="AY475" s="948">
        <f t="shared" ref="AY475:AY478" si="1224">AP475*AE475*E475*D475</f>
        <v>16.8</v>
      </c>
      <c r="AZ475" s="948">
        <f t="shared" ref="AZ475:AZ478" si="1225">AQ475*(AF475+AG475+AH475)*E475*D475</f>
        <v>124.684</v>
      </c>
      <c r="BA475" s="948">
        <f t="shared" ref="BA475:BA478" si="1226">AR475*(AF475+AG475+AH475)*E475*D475</f>
        <v>0</v>
      </c>
      <c r="BB475" s="948">
        <f t="shared" ref="BB475:BB478" si="1227">AS475*(AF475+AG475+AH475)*E475*D475</f>
        <v>0</v>
      </c>
      <c r="BC475" s="957">
        <f t="shared" ref="BC475:BK478" si="1228">N475*N475*0.074/12</f>
        <v>1.5786666666666667</v>
      </c>
      <c r="BD475" s="957">
        <f t="shared" si="1228"/>
        <v>1.5786666666666667</v>
      </c>
      <c r="BE475" s="957">
        <f t="shared" si="1228"/>
        <v>1.5786666666666667</v>
      </c>
      <c r="BF475" s="957">
        <f t="shared" si="1228"/>
        <v>1.5786666666666667</v>
      </c>
      <c r="BG475" s="957">
        <f t="shared" si="1228"/>
        <v>1.5786666666666667</v>
      </c>
      <c r="BH475" s="957">
        <f t="shared" si="1228"/>
        <v>1.5786666666666667</v>
      </c>
      <c r="BI475" s="957">
        <f t="shared" si="1228"/>
        <v>0.39466666666666667</v>
      </c>
      <c r="BJ475" s="957">
        <f t="shared" si="1228"/>
        <v>0</v>
      </c>
      <c r="BK475" s="957">
        <f t="shared" si="1228"/>
        <v>0</v>
      </c>
      <c r="BL475" s="948">
        <f t="shared" ref="BL475:BR478" si="1229">AT475*BC475</f>
        <v>39.782400000000003</v>
      </c>
      <c r="BM475" s="948">
        <f t="shared" si="1229"/>
        <v>26.521599999999999</v>
      </c>
      <c r="BN475" s="948">
        <f t="shared" si="1229"/>
        <v>28.491776000000002</v>
      </c>
      <c r="BO475" s="948">
        <f t="shared" si="1229"/>
        <v>28.491776000000002</v>
      </c>
      <c r="BP475" s="948">
        <f t="shared" si="1229"/>
        <v>39.782400000000003</v>
      </c>
      <c r="BQ475" s="948">
        <f t="shared" si="1229"/>
        <v>26.521599999999999</v>
      </c>
      <c r="BR475" s="948">
        <f t="shared" si="1229"/>
        <v>49.208618666666666</v>
      </c>
      <c r="BS475" s="948">
        <f>BB475*BK475</f>
        <v>0</v>
      </c>
      <c r="BT475" s="955">
        <f>SUM(BL475:BS475)/K475</f>
        <v>187.73598322851154</v>
      </c>
    </row>
    <row r="476" spans="1:72">
      <c r="A476" s="952">
        <v>9</v>
      </c>
      <c r="B476" s="952" t="s">
        <v>1180</v>
      </c>
      <c r="C476" s="950" t="s">
        <v>1127</v>
      </c>
      <c r="D476" s="950">
        <v>1</v>
      </c>
      <c r="E476" s="950">
        <v>1</v>
      </c>
      <c r="F476" s="948">
        <v>8.4</v>
      </c>
      <c r="G476" s="948">
        <v>0.3</v>
      </c>
      <c r="H476" s="948">
        <v>0.65</v>
      </c>
      <c r="I476" s="948">
        <v>0.12</v>
      </c>
      <c r="J476" s="948">
        <f t="shared" si="1204"/>
        <v>0.53</v>
      </c>
      <c r="K476" s="948">
        <f t="shared" si="1205"/>
        <v>1.3356000000000001</v>
      </c>
      <c r="L476" s="948">
        <f t="shared" si="1206"/>
        <v>8.9040000000000017</v>
      </c>
      <c r="M476" s="952"/>
      <c r="N476" s="950">
        <v>16</v>
      </c>
      <c r="O476" s="950">
        <v>16</v>
      </c>
      <c r="P476" s="950">
        <v>16</v>
      </c>
      <c r="Q476" s="950">
        <v>16</v>
      </c>
      <c r="R476" s="950">
        <v>16</v>
      </c>
      <c r="S476" s="950">
        <v>16</v>
      </c>
      <c r="T476" s="950">
        <v>8</v>
      </c>
      <c r="U476" s="950"/>
      <c r="V476" s="950"/>
      <c r="W476" s="950">
        <v>200</v>
      </c>
      <c r="X476" s="950">
        <v>100</v>
      </c>
      <c r="Y476" s="950">
        <v>100</v>
      </c>
      <c r="Z476" s="950">
        <v>9</v>
      </c>
      <c r="AA476" s="950">
        <v>6</v>
      </c>
      <c r="AB476" s="950">
        <v>4</v>
      </c>
      <c r="AC476" s="950">
        <v>4</v>
      </c>
      <c r="AD476" s="950">
        <v>9</v>
      </c>
      <c r="AE476" s="950">
        <v>6</v>
      </c>
      <c r="AF476" s="955">
        <f t="shared" si="1207"/>
        <v>11.5</v>
      </c>
      <c r="AG476" s="955">
        <f t="shared" si="1208"/>
        <v>43</v>
      </c>
      <c r="AH476" s="955">
        <f t="shared" si="1209"/>
        <v>22</v>
      </c>
      <c r="AI476" s="955">
        <v>0</v>
      </c>
      <c r="AJ476" s="955">
        <v>0</v>
      </c>
      <c r="AK476" s="948">
        <f t="shared" si="1210"/>
        <v>2.9000000000000004</v>
      </c>
      <c r="AL476" s="948">
        <f t="shared" si="1211"/>
        <v>2.9000000000000004</v>
      </c>
      <c r="AM476" s="948">
        <f t="shared" si="1212"/>
        <v>4.7120000000000006</v>
      </c>
      <c r="AN476" s="948">
        <f t="shared" si="1213"/>
        <v>4.7120000000000006</v>
      </c>
      <c r="AO476" s="948">
        <f t="shared" si="1214"/>
        <v>2.9000000000000004</v>
      </c>
      <c r="AP476" s="948">
        <f t="shared" si="1215"/>
        <v>2.9000000000000004</v>
      </c>
      <c r="AQ476" s="948">
        <f t="shared" si="1216"/>
        <v>1.708</v>
      </c>
      <c r="AR476" s="948">
        <f t="shared" si="1217"/>
        <v>0</v>
      </c>
      <c r="AS476" s="948">
        <f t="shared" si="1218"/>
        <v>0</v>
      </c>
      <c r="AT476" s="948">
        <f t="shared" si="1219"/>
        <v>26.1</v>
      </c>
      <c r="AU476" s="948">
        <f t="shared" si="1220"/>
        <v>17.400000000000002</v>
      </c>
      <c r="AV476" s="948">
        <f t="shared" si="1221"/>
        <v>18.848000000000003</v>
      </c>
      <c r="AW476" s="948">
        <f t="shared" si="1222"/>
        <v>18.848000000000003</v>
      </c>
      <c r="AX476" s="948">
        <f t="shared" si="1223"/>
        <v>26.1</v>
      </c>
      <c r="AY476" s="948">
        <f t="shared" si="1224"/>
        <v>17.400000000000002</v>
      </c>
      <c r="AZ476" s="948">
        <f t="shared" si="1225"/>
        <v>130.66200000000001</v>
      </c>
      <c r="BA476" s="948">
        <f t="shared" si="1226"/>
        <v>0</v>
      </c>
      <c r="BB476" s="948">
        <f t="shared" si="1227"/>
        <v>0</v>
      </c>
      <c r="BC476" s="957">
        <f t="shared" si="1228"/>
        <v>1.5786666666666667</v>
      </c>
      <c r="BD476" s="957">
        <f t="shared" si="1228"/>
        <v>1.5786666666666667</v>
      </c>
      <c r="BE476" s="957">
        <f t="shared" si="1228"/>
        <v>1.5786666666666667</v>
      </c>
      <c r="BF476" s="957">
        <f t="shared" si="1228"/>
        <v>1.5786666666666667</v>
      </c>
      <c r="BG476" s="957">
        <f t="shared" si="1228"/>
        <v>1.5786666666666667</v>
      </c>
      <c r="BH476" s="957">
        <f t="shared" si="1228"/>
        <v>1.5786666666666667</v>
      </c>
      <c r="BI476" s="957">
        <f t="shared" si="1228"/>
        <v>0.39466666666666667</v>
      </c>
      <c r="BJ476" s="957">
        <f t="shared" si="1228"/>
        <v>0</v>
      </c>
      <c r="BK476" s="957">
        <f t="shared" si="1228"/>
        <v>0</v>
      </c>
      <c r="BL476" s="948">
        <f t="shared" si="1229"/>
        <v>41.203200000000002</v>
      </c>
      <c r="BM476" s="948">
        <f t="shared" si="1229"/>
        <v>27.468800000000002</v>
      </c>
      <c r="BN476" s="948">
        <f t="shared" si="1229"/>
        <v>29.754709333333338</v>
      </c>
      <c r="BO476" s="948">
        <f t="shared" si="1229"/>
        <v>29.754709333333338</v>
      </c>
      <c r="BP476" s="948">
        <f t="shared" si="1229"/>
        <v>41.203200000000002</v>
      </c>
      <c r="BQ476" s="948">
        <f t="shared" si="1229"/>
        <v>27.468800000000002</v>
      </c>
      <c r="BR476" s="948">
        <f t="shared" si="1229"/>
        <v>51.567936000000003</v>
      </c>
      <c r="BS476" s="948">
        <f>BB476*BK476</f>
        <v>0</v>
      </c>
      <c r="BT476" s="955">
        <f>SUM(BL476:BS476)/K476</f>
        <v>185.99981631226916</v>
      </c>
    </row>
    <row r="477" spans="1:72">
      <c r="A477" s="952">
        <v>10</v>
      </c>
      <c r="B477" s="952" t="s">
        <v>1194</v>
      </c>
      <c r="C477" s="950" t="s">
        <v>1195</v>
      </c>
      <c r="D477" s="950">
        <v>1</v>
      </c>
      <c r="E477" s="950">
        <v>1</v>
      </c>
      <c r="F477" s="948">
        <v>12</v>
      </c>
      <c r="G477" s="948">
        <v>0.35</v>
      </c>
      <c r="H477" s="948">
        <v>0.8</v>
      </c>
      <c r="I477" s="948">
        <v>0.12</v>
      </c>
      <c r="J477" s="948">
        <f t="shared" si="1204"/>
        <v>0.68</v>
      </c>
      <c r="K477" s="948">
        <f t="shared" si="1205"/>
        <v>2.8559999999999999</v>
      </c>
      <c r="L477" s="948">
        <f t="shared" si="1206"/>
        <v>16.32</v>
      </c>
      <c r="M477" s="952"/>
      <c r="N477" s="950">
        <v>25</v>
      </c>
      <c r="O477" s="950">
        <v>25</v>
      </c>
      <c r="P477" s="950">
        <v>25</v>
      </c>
      <c r="Q477" s="950">
        <v>25</v>
      </c>
      <c r="R477" s="950">
        <v>25</v>
      </c>
      <c r="S477" s="950">
        <v>25</v>
      </c>
      <c r="T477" s="950">
        <v>8</v>
      </c>
      <c r="U477" s="950"/>
      <c r="V477" s="950"/>
      <c r="W477" s="950">
        <v>200</v>
      </c>
      <c r="X477" s="950">
        <v>100</v>
      </c>
      <c r="Y477" s="950">
        <v>100</v>
      </c>
      <c r="Z477" s="950">
        <v>9</v>
      </c>
      <c r="AA477" s="950">
        <v>6</v>
      </c>
      <c r="AB477" s="950">
        <v>4</v>
      </c>
      <c r="AC477" s="950">
        <v>4</v>
      </c>
      <c r="AD477" s="950">
        <v>9</v>
      </c>
      <c r="AE477" s="950">
        <v>6</v>
      </c>
      <c r="AF477" s="955">
        <f t="shared" si="1207"/>
        <v>16</v>
      </c>
      <c r="AG477" s="955">
        <f t="shared" si="1208"/>
        <v>61</v>
      </c>
      <c r="AH477" s="955">
        <f t="shared" si="1209"/>
        <v>31</v>
      </c>
      <c r="AI477" s="955">
        <v>0</v>
      </c>
      <c r="AJ477" s="955">
        <v>0</v>
      </c>
      <c r="AK477" s="948">
        <f t="shared" si="1210"/>
        <v>4.25</v>
      </c>
      <c r="AL477" s="948">
        <f t="shared" si="1211"/>
        <v>4.25</v>
      </c>
      <c r="AM477" s="948">
        <f t="shared" si="1212"/>
        <v>6.8</v>
      </c>
      <c r="AN477" s="948">
        <f t="shared" si="1213"/>
        <v>6.8</v>
      </c>
      <c r="AO477" s="948">
        <f t="shared" si="1214"/>
        <v>4.25</v>
      </c>
      <c r="AP477" s="948">
        <f t="shared" si="1215"/>
        <v>4.25</v>
      </c>
      <c r="AQ477" s="948">
        <f t="shared" si="1216"/>
        <v>2.1079999999999997</v>
      </c>
      <c r="AR477" s="948">
        <f t="shared" si="1217"/>
        <v>0</v>
      </c>
      <c r="AS477" s="948">
        <f t="shared" si="1218"/>
        <v>0</v>
      </c>
      <c r="AT477" s="948">
        <f t="shared" si="1219"/>
        <v>38.25</v>
      </c>
      <c r="AU477" s="948">
        <f t="shared" si="1220"/>
        <v>25.5</v>
      </c>
      <c r="AV477" s="948">
        <f t="shared" si="1221"/>
        <v>27.2</v>
      </c>
      <c r="AW477" s="948">
        <f t="shared" si="1222"/>
        <v>27.2</v>
      </c>
      <c r="AX477" s="948">
        <f t="shared" si="1223"/>
        <v>38.25</v>
      </c>
      <c r="AY477" s="948">
        <f t="shared" si="1224"/>
        <v>25.5</v>
      </c>
      <c r="AZ477" s="948">
        <f t="shared" si="1225"/>
        <v>227.66399999999996</v>
      </c>
      <c r="BA477" s="948">
        <f t="shared" si="1226"/>
        <v>0</v>
      </c>
      <c r="BB477" s="948">
        <f t="shared" si="1227"/>
        <v>0</v>
      </c>
      <c r="BC477" s="957">
        <f t="shared" si="1228"/>
        <v>3.8541666666666665</v>
      </c>
      <c r="BD477" s="957">
        <f t="shared" si="1228"/>
        <v>3.8541666666666665</v>
      </c>
      <c r="BE477" s="957">
        <f t="shared" si="1228"/>
        <v>3.8541666666666665</v>
      </c>
      <c r="BF477" s="957">
        <f t="shared" si="1228"/>
        <v>3.8541666666666665</v>
      </c>
      <c r="BG477" s="957">
        <f t="shared" si="1228"/>
        <v>3.8541666666666665</v>
      </c>
      <c r="BH477" s="957">
        <f t="shared" si="1228"/>
        <v>3.8541666666666665</v>
      </c>
      <c r="BI477" s="957">
        <f t="shared" si="1228"/>
        <v>0.39466666666666667</v>
      </c>
      <c r="BJ477" s="957">
        <f t="shared" si="1228"/>
        <v>0</v>
      </c>
      <c r="BK477" s="957">
        <f t="shared" si="1228"/>
        <v>0</v>
      </c>
      <c r="BL477" s="948">
        <f t="shared" si="1229"/>
        <v>147.421875</v>
      </c>
      <c r="BM477" s="948">
        <f t="shared" si="1229"/>
        <v>98.28125</v>
      </c>
      <c r="BN477" s="948">
        <f t="shared" si="1229"/>
        <v>104.83333333333333</v>
      </c>
      <c r="BO477" s="948">
        <f t="shared" si="1229"/>
        <v>104.83333333333333</v>
      </c>
      <c r="BP477" s="948">
        <f t="shared" si="1229"/>
        <v>147.421875</v>
      </c>
      <c r="BQ477" s="948">
        <f t="shared" si="1229"/>
        <v>98.28125</v>
      </c>
      <c r="BR477" s="948">
        <f t="shared" si="1229"/>
        <v>89.85139199999999</v>
      </c>
      <c r="BS477" s="948">
        <f>BB477*BK477</f>
        <v>0</v>
      </c>
      <c r="BT477" s="955">
        <f>SUM(BL477:BS477)/K477</f>
        <v>276.93428174603173</v>
      </c>
    </row>
    <row r="478" spans="1:72">
      <c r="A478" s="952">
        <v>11</v>
      </c>
      <c r="B478" s="952" t="s">
        <v>1196</v>
      </c>
      <c r="C478" s="950" t="s">
        <v>1197</v>
      </c>
      <c r="D478" s="950">
        <v>1</v>
      </c>
      <c r="E478" s="950">
        <v>1</v>
      </c>
      <c r="F478" s="948">
        <v>16</v>
      </c>
      <c r="G478" s="948">
        <v>0.3</v>
      </c>
      <c r="H478" s="948">
        <v>0.7</v>
      </c>
      <c r="I478" s="948">
        <v>0.12</v>
      </c>
      <c r="J478" s="948">
        <f t="shared" si="1204"/>
        <v>0.57999999999999996</v>
      </c>
      <c r="K478" s="948">
        <f t="shared" si="1205"/>
        <v>2.7839999999999998</v>
      </c>
      <c r="L478" s="948">
        <f t="shared" si="1206"/>
        <v>18.559999999999999</v>
      </c>
      <c r="M478" s="952"/>
      <c r="N478" s="950">
        <v>16</v>
      </c>
      <c r="O478" s="950">
        <v>16</v>
      </c>
      <c r="P478" s="950">
        <v>16</v>
      </c>
      <c r="Q478" s="950">
        <v>16</v>
      </c>
      <c r="R478" s="950">
        <v>16</v>
      </c>
      <c r="S478" s="950">
        <v>16</v>
      </c>
      <c r="T478" s="950">
        <v>8</v>
      </c>
      <c r="U478" s="950"/>
      <c r="V478" s="950"/>
      <c r="W478" s="950">
        <v>200</v>
      </c>
      <c r="X478" s="950">
        <v>100</v>
      </c>
      <c r="Y478" s="950">
        <v>100</v>
      </c>
      <c r="Z478" s="950">
        <v>9</v>
      </c>
      <c r="AA478" s="950">
        <v>6</v>
      </c>
      <c r="AB478" s="950">
        <v>4</v>
      </c>
      <c r="AC478" s="950">
        <v>4</v>
      </c>
      <c r="AD478" s="950">
        <v>9</v>
      </c>
      <c r="AE478" s="950">
        <v>6</v>
      </c>
      <c r="AF478" s="955">
        <f t="shared" si="1207"/>
        <v>21</v>
      </c>
      <c r="AG478" s="955">
        <f t="shared" si="1208"/>
        <v>81</v>
      </c>
      <c r="AH478" s="955">
        <f t="shared" si="1209"/>
        <v>41</v>
      </c>
      <c r="AI478" s="955">
        <v>0</v>
      </c>
      <c r="AJ478" s="955">
        <v>0</v>
      </c>
      <c r="AK478" s="948">
        <f t="shared" si="1210"/>
        <v>4.8000000000000007</v>
      </c>
      <c r="AL478" s="948">
        <f t="shared" si="1211"/>
        <v>4.8000000000000007</v>
      </c>
      <c r="AM478" s="948">
        <f t="shared" si="1212"/>
        <v>8.5120000000000005</v>
      </c>
      <c r="AN478" s="948">
        <f t="shared" si="1213"/>
        <v>8.5120000000000005</v>
      </c>
      <c r="AO478" s="948">
        <f t="shared" si="1214"/>
        <v>4.8000000000000007</v>
      </c>
      <c r="AP478" s="948">
        <f t="shared" si="1215"/>
        <v>4.8000000000000007</v>
      </c>
      <c r="AQ478" s="948">
        <f t="shared" si="1216"/>
        <v>1.8080000000000001</v>
      </c>
      <c r="AR478" s="948">
        <f t="shared" si="1217"/>
        <v>0</v>
      </c>
      <c r="AS478" s="948">
        <f t="shared" si="1218"/>
        <v>0</v>
      </c>
      <c r="AT478" s="948">
        <f t="shared" si="1219"/>
        <v>43.2</v>
      </c>
      <c r="AU478" s="948">
        <f t="shared" si="1220"/>
        <v>28.800000000000004</v>
      </c>
      <c r="AV478" s="948">
        <f t="shared" si="1221"/>
        <v>34.048000000000002</v>
      </c>
      <c r="AW478" s="948">
        <f t="shared" si="1222"/>
        <v>34.048000000000002</v>
      </c>
      <c r="AX478" s="948">
        <f t="shared" si="1223"/>
        <v>43.2</v>
      </c>
      <c r="AY478" s="948">
        <f t="shared" si="1224"/>
        <v>28.800000000000004</v>
      </c>
      <c r="AZ478" s="948">
        <f t="shared" si="1225"/>
        <v>258.54399999999998</v>
      </c>
      <c r="BA478" s="948">
        <f t="shared" si="1226"/>
        <v>0</v>
      </c>
      <c r="BB478" s="948">
        <f t="shared" si="1227"/>
        <v>0</v>
      </c>
      <c r="BC478" s="957">
        <f t="shared" si="1228"/>
        <v>1.5786666666666667</v>
      </c>
      <c r="BD478" s="957">
        <f t="shared" si="1228"/>
        <v>1.5786666666666667</v>
      </c>
      <c r="BE478" s="957">
        <f t="shared" si="1228"/>
        <v>1.5786666666666667</v>
      </c>
      <c r="BF478" s="957">
        <f t="shared" si="1228"/>
        <v>1.5786666666666667</v>
      </c>
      <c r="BG478" s="957">
        <f t="shared" si="1228"/>
        <v>1.5786666666666667</v>
      </c>
      <c r="BH478" s="957">
        <f t="shared" si="1228"/>
        <v>1.5786666666666667</v>
      </c>
      <c r="BI478" s="957">
        <f t="shared" si="1228"/>
        <v>0.39466666666666667</v>
      </c>
      <c r="BJ478" s="957">
        <f t="shared" si="1228"/>
        <v>0</v>
      </c>
      <c r="BK478" s="957">
        <f t="shared" si="1228"/>
        <v>0</v>
      </c>
      <c r="BL478" s="948">
        <f t="shared" si="1229"/>
        <v>68.198400000000007</v>
      </c>
      <c r="BM478" s="948">
        <f t="shared" si="1229"/>
        <v>45.465600000000009</v>
      </c>
      <c r="BN478" s="948">
        <f t="shared" si="1229"/>
        <v>53.750442666666672</v>
      </c>
      <c r="BO478" s="948">
        <f t="shared" si="1229"/>
        <v>53.750442666666672</v>
      </c>
      <c r="BP478" s="948">
        <f t="shared" si="1229"/>
        <v>68.198400000000007</v>
      </c>
      <c r="BQ478" s="948">
        <f t="shared" si="1229"/>
        <v>45.465600000000009</v>
      </c>
      <c r="BR478" s="948">
        <f t="shared" si="1229"/>
        <v>102.03869866666666</v>
      </c>
      <c r="BS478" s="948">
        <f>BB478*BK478</f>
        <v>0</v>
      </c>
      <c r="BT478" s="955">
        <f>SUM(BL478:BS478)/K478</f>
        <v>156.92082758620691</v>
      </c>
    </row>
    <row r="479" spans="1:72">
      <c r="A479" s="952"/>
      <c r="B479" s="952"/>
      <c r="C479" s="950"/>
      <c r="D479" s="950"/>
      <c r="E479" s="950"/>
      <c r="F479" s="948"/>
      <c r="G479" s="948"/>
      <c r="H479" s="948"/>
      <c r="I479" s="948"/>
      <c r="J479" s="948"/>
      <c r="K479" s="948">
        <f>SUM(K460:K478)</f>
        <v>68.524200000000022</v>
      </c>
      <c r="L479" s="948">
        <f>SUM(L460:L478)</f>
        <v>484.51200000000006</v>
      </c>
      <c r="M479" s="952"/>
      <c r="N479" s="950"/>
      <c r="O479" s="950"/>
      <c r="P479" s="950"/>
      <c r="Q479" s="950"/>
      <c r="R479" s="950"/>
      <c r="S479" s="950"/>
      <c r="T479" s="950"/>
      <c r="U479" s="950"/>
      <c r="V479" s="950"/>
      <c r="W479" s="950"/>
      <c r="X479" s="950"/>
      <c r="Y479" s="950"/>
      <c r="Z479" s="950"/>
      <c r="AA479" s="950"/>
      <c r="AB479" s="950"/>
      <c r="AC479" s="950"/>
      <c r="AD479" s="950"/>
      <c r="AE479" s="950"/>
      <c r="AF479" s="955"/>
      <c r="AG479" s="955"/>
      <c r="AH479" s="955"/>
      <c r="AI479" s="955"/>
      <c r="AJ479" s="955"/>
      <c r="AK479" s="948"/>
      <c r="AL479" s="948"/>
      <c r="AM479" s="948"/>
      <c r="AN479" s="948"/>
      <c r="AO479" s="948"/>
      <c r="AP479" s="948"/>
      <c r="AQ479" s="948"/>
      <c r="AR479" s="948"/>
      <c r="AS479" s="948"/>
      <c r="AT479" s="948"/>
      <c r="AU479" s="948"/>
      <c r="AV479" s="948"/>
      <c r="AW479" s="948"/>
      <c r="AX479" s="948"/>
      <c r="AY479" s="948"/>
      <c r="AZ479" s="948"/>
      <c r="BA479" s="948"/>
      <c r="BB479" s="948"/>
      <c r="BC479" s="957"/>
      <c r="BD479" s="957"/>
      <c r="BE479" s="957"/>
      <c r="BF479" s="957"/>
      <c r="BG479" s="957"/>
      <c r="BH479" s="957"/>
      <c r="BI479" s="957"/>
      <c r="BJ479" s="957"/>
      <c r="BK479" s="957"/>
      <c r="BL479" s="948"/>
      <c r="BM479" s="948"/>
      <c r="BN479" s="948"/>
      <c r="BO479" s="948"/>
      <c r="BP479" s="948"/>
      <c r="BQ479" s="948"/>
      <c r="BR479" s="948"/>
      <c r="BS479" s="948"/>
      <c r="BT479" s="955"/>
    </row>
    <row r="480" spans="1:72">
      <c r="A480" s="949" t="s">
        <v>66</v>
      </c>
      <c r="B480" s="949" t="s">
        <v>1050</v>
      </c>
      <c r="C480" s="949" t="s">
        <v>983</v>
      </c>
      <c r="D480" s="950" t="s">
        <v>1051</v>
      </c>
      <c r="E480" s="950" t="s">
        <v>1052</v>
      </c>
      <c r="F480" s="951" t="s">
        <v>984</v>
      </c>
      <c r="G480" s="951"/>
      <c r="H480" s="951"/>
      <c r="I480" s="948" t="s">
        <v>985</v>
      </c>
      <c r="J480" s="948" t="s">
        <v>1053</v>
      </c>
      <c r="K480" s="948" t="s">
        <v>392</v>
      </c>
      <c r="L480" s="948" t="s">
        <v>377</v>
      </c>
      <c r="M480" s="952"/>
      <c r="N480" s="949" t="s">
        <v>1054</v>
      </c>
      <c r="O480" s="949"/>
      <c r="P480" s="949"/>
      <c r="Q480" s="949"/>
      <c r="R480" s="949"/>
      <c r="S480" s="949"/>
      <c r="T480" s="949" t="s">
        <v>1055</v>
      </c>
      <c r="U480" s="949"/>
      <c r="V480" s="949"/>
      <c r="W480" s="949" t="s">
        <v>989</v>
      </c>
      <c r="X480" s="949"/>
      <c r="Y480" s="949"/>
      <c r="Z480" s="949" t="s">
        <v>1056</v>
      </c>
      <c r="AA480" s="949"/>
      <c r="AB480" s="949"/>
      <c r="AC480" s="949"/>
      <c r="AD480" s="949"/>
      <c r="AE480" s="949"/>
      <c r="AF480" s="953" t="s">
        <v>1057</v>
      </c>
      <c r="AG480" s="953"/>
      <c r="AH480" s="953"/>
      <c r="AI480" s="953"/>
      <c r="AJ480" s="953"/>
      <c r="AK480" s="951" t="s">
        <v>1058</v>
      </c>
      <c r="AL480" s="951"/>
      <c r="AM480" s="951"/>
      <c r="AN480" s="951"/>
      <c r="AO480" s="951"/>
      <c r="AP480" s="951"/>
      <c r="AQ480" s="951" t="s">
        <v>1059</v>
      </c>
      <c r="AR480" s="951"/>
      <c r="AS480" s="951"/>
      <c r="AT480" s="951" t="s">
        <v>1060</v>
      </c>
      <c r="AU480" s="951"/>
      <c r="AV480" s="951"/>
      <c r="AW480" s="951"/>
      <c r="AX480" s="951"/>
      <c r="AY480" s="951"/>
      <c r="AZ480" s="951" t="s">
        <v>1061</v>
      </c>
      <c r="BA480" s="951"/>
      <c r="BB480" s="951"/>
      <c r="BC480" s="954" t="s">
        <v>1062</v>
      </c>
      <c r="BD480" s="954"/>
      <c r="BE480" s="954"/>
      <c r="BF480" s="954"/>
      <c r="BG480" s="954"/>
      <c r="BH480" s="954"/>
      <c r="BI480" s="954" t="s">
        <v>996</v>
      </c>
      <c r="BJ480" s="954"/>
      <c r="BK480" s="954"/>
      <c r="BL480" s="951" t="s">
        <v>997</v>
      </c>
      <c r="BM480" s="951"/>
      <c r="BN480" s="951"/>
      <c r="BO480" s="951"/>
      <c r="BP480" s="951"/>
      <c r="BQ480" s="951"/>
      <c r="BR480" s="951"/>
      <c r="BS480" s="951"/>
      <c r="BT480" s="955" t="s">
        <v>998</v>
      </c>
    </row>
    <row r="481" spans="1:72">
      <c r="A481" s="949"/>
      <c r="B481" s="949"/>
      <c r="C481" s="949"/>
      <c r="D481" s="949" t="s">
        <v>1063</v>
      </c>
      <c r="E481" s="949" t="s">
        <v>391</v>
      </c>
      <c r="F481" s="948" t="s">
        <v>999</v>
      </c>
      <c r="G481" s="948" t="s">
        <v>1000</v>
      </c>
      <c r="H481" s="948" t="s">
        <v>1001</v>
      </c>
      <c r="I481" s="948" t="s">
        <v>1002</v>
      </c>
      <c r="J481" s="948" t="s">
        <v>1003</v>
      </c>
      <c r="K481" s="951" t="s">
        <v>1064</v>
      </c>
      <c r="L481" s="948"/>
      <c r="M481" s="952"/>
      <c r="N481" s="949" t="s">
        <v>1001</v>
      </c>
      <c r="O481" s="949"/>
      <c r="P481" s="949" t="s">
        <v>1000</v>
      </c>
      <c r="Q481" s="949"/>
      <c r="R481" s="949" t="s">
        <v>1001</v>
      </c>
      <c r="S481" s="949"/>
      <c r="T481" s="950" t="s">
        <v>1007</v>
      </c>
      <c r="U481" s="949" t="s">
        <v>1005</v>
      </c>
      <c r="V481" s="949"/>
      <c r="W481" s="949"/>
      <c r="X481" s="949" t="s">
        <v>1000</v>
      </c>
      <c r="Y481" s="949" t="s">
        <v>1001</v>
      </c>
      <c r="Z481" s="949" t="s">
        <v>1001</v>
      </c>
      <c r="AA481" s="949"/>
      <c r="AB481" s="949" t="s">
        <v>1000</v>
      </c>
      <c r="AC481" s="949"/>
      <c r="AD481" s="949" t="s">
        <v>1001</v>
      </c>
      <c r="AE481" s="949"/>
      <c r="AF481" s="953" t="s">
        <v>1004</v>
      </c>
      <c r="AG481" s="953"/>
      <c r="AH481" s="953"/>
      <c r="AI481" s="953" t="s">
        <v>1065</v>
      </c>
      <c r="AJ481" s="953"/>
      <c r="AK481" s="951" t="s">
        <v>1001</v>
      </c>
      <c r="AL481" s="951"/>
      <c r="AM481" s="951" t="s">
        <v>1000</v>
      </c>
      <c r="AN481" s="951"/>
      <c r="AO481" s="951" t="s">
        <v>1001</v>
      </c>
      <c r="AP481" s="951"/>
      <c r="AQ481" s="951" t="s">
        <v>1004</v>
      </c>
      <c r="AR481" s="951" t="s">
        <v>1005</v>
      </c>
      <c r="AS481" s="951"/>
      <c r="AT481" s="951" t="s">
        <v>1066</v>
      </c>
      <c r="AU481" s="951"/>
      <c r="AV481" s="951" t="s">
        <v>1000</v>
      </c>
      <c r="AW481" s="951"/>
      <c r="AX481" s="951" t="s">
        <v>1001</v>
      </c>
      <c r="AY481" s="951"/>
      <c r="AZ481" s="951" t="s">
        <v>1004</v>
      </c>
      <c r="BA481" s="951" t="s">
        <v>1005</v>
      </c>
      <c r="BB481" s="951"/>
      <c r="BC481" s="953" t="s">
        <v>1001</v>
      </c>
      <c r="BD481" s="953"/>
      <c r="BE481" s="953" t="s">
        <v>1000</v>
      </c>
      <c r="BF481" s="953"/>
      <c r="BG481" s="951" t="s">
        <v>1001</v>
      </c>
      <c r="BH481" s="951"/>
      <c r="BI481" s="956" t="s">
        <v>1004</v>
      </c>
      <c r="BJ481" s="954" t="s">
        <v>1005</v>
      </c>
      <c r="BK481" s="954"/>
      <c r="BL481" s="951" t="s">
        <v>1006</v>
      </c>
      <c r="BM481" s="951"/>
      <c r="BN481" s="951"/>
      <c r="BO481" s="951"/>
      <c r="BP481" s="951"/>
      <c r="BQ481" s="951"/>
      <c r="BR481" s="951" t="s">
        <v>1067</v>
      </c>
      <c r="BS481" s="951"/>
      <c r="BT481" s="953" t="s">
        <v>1068</v>
      </c>
    </row>
    <row r="482" spans="1:72">
      <c r="A482" s="949"/>
      <c r="B482" s="949"/>
      <c r="C482" s="949" t="s">
        <v>391</v>
      </c>
      <c r="D482" s="949"/>
      <c r="E482" s="949"/>
      <c r="F482" s="948" t="s">
        <v>1069</v>
      </c>
      <c r="G482" s="948" t="s">
        <v>1069</v>
      </c>
      <c r="H482" s="948" t="s">
        <v>1069</v>
      </c>
      <c r="I482" s="948" t="s">
        <v>1069</v>
      </c>
      <c r="J482" s="948" t="s">
        <v>1069</v>
      </c>
      <c r="K482" s="951"/>
      <c r="L482" s="948" t="s">
        <v>1070</v>
      </c>
      <c r="M482" s="952"/>
      <c r="N482" s="949"/>
      <c r="O482" s="949"/>
      <c r="P482" s="949"/>
      <c r="Q482" s="949"/>
      <c r="R482" s="949"/>
      <c r="S482" s="949"/>
      <c r="T482" s="950" t="s">
        <v>1071</v>
      </c>
      <c r="U482" s="950" t="s">
        <v>1012</v>
      </c>
      <c r="V482" s="950" t="s">
        <v>494</v>
      </c>
      <c r="W482" s="949"/>
      <c r="X482" s="949"/>
      <c r="Y482" s="949"/>
      <c r="Z482" s="949"/>
      <c r="AA482" s="949"/>
      <c r="AB482" s="949"/>
      <c r="AC482" s="949"/>
      <c r="AD482" s="949"/>
      <c r="AE482" s="949"/>
      <c r="AF482" s="955" t="s">
        <v>1001</v>
      </c>
      <c r="AG482" s="955" t="s">
        <v>1000</v>
      </c>
      <c r="AH482" s="955" t="s">
        <v>1001</v>
      </c>
      <c r="AI482" s="955" t="s">
        <v>1012</v>
      </c>
      <c r="AJ482" s="955" t="s">
        <v>494</v>
      </c>
      <c r="AK482" s="951"/>
      <c r="AL482" s="951"/>
      <c r="AM482" s="951"/>
      <c r="AN482" s="951"/>
      <c r="AO482" s="951"/>
      <c r="AP482" s="951"/>
      <c r="AQ482" s="951"/>
      <c r="AR482" s="948" t="s">
        <v>1012</v>
      </c>
      <c r="AS482" s="948" t="s">
        <v>494</v>
      </c>
      <c r="AT482" s="951"/>
      <c r="AU482" s="951"/>
      <c r="AV482" s="951"/>
      <c r="AW482" s="951"/>
      <c r="AX482" s="951"/>
      <c r="AY482" s="951"/>
      <c r="AZ482" s="951"/>
      <c r="BA482" s="948" t="s">
        <v>1012</v>
      </c>
      <c r="BB482" s="948" t="s">
        <v>494</v>
      </c>
      <c r="BC482" s="953"/>
      <c r="BD482" s="953"/>
      <c r="BE482" s="953"/>
      <c r="BF482" s="953"/>
      <c r="BG482" s="951"/>
      <c r="BH482" s="951"/>
      <c r="BI482" s="957"/>
      <c r="BJ482" s="957" t="s">
        <v>1012</v>
      </c>
      <c r="BK482" s="957" t="s">
        <v>494</v>
      </c>
      <c r="BL482" s="951" t="s">
        <v>1001</v>
      </c>
      <c r="BM482" s="951"/>
      <c r="BN482" s="951" t="s">
        <v>1000</v>
      </c>
      <c r="BO482" s="951"/>
      <c r="BP482" s="951" t="s">
        <v>1001</v>
      </c>
      <c r="BQ482" s="951"/>
      <c r="BR482" s="951" t="s">
        <v>1004</v>
      </c>
      <c r="BS482" s="948"/>
      <c r="BT482" s="953"/>
    </row>
    <row r="483" spans="1:72">
      <c r="A483" s="949"/>
      <c r="B483" s="949"/>
      <c r="C483" s="949"/>
      <c r="D483" s="950" t="s">
        <v>1072</v>
      </c>
      <c r="E483" s="950" t="s">
        <v>1073</v>
      </c>
      <c r="F483" s="948" t="s">
        <v>1074</v>
      </c>
      <c r="G483" s="948" t="s">
        <v>1075</v>
      </c>
      <c r="H483" s="948" t="s">
        <v>1076</v>
      </c>
      <c r="I483" s="948" t="s">
        <v>1077</v>
      </c>
      <c r="J483" s="948" t="s">
        <v>1078</v>
      </c>
      <c r="K483" s="948" t="s">
        <v>1079</v>
      </c>
      <c r="L483" s="948" t="s">
        <v>1080</v>
      </c>
      <c r="M483" s="952"/>
      <c r="N483" s="949" t="s">
        <v>1081</v>
      </c>
      <c r="O483" s="949"/>
      <c r="P483" s="949"/>
      <c r="Q483" s="949"/>
      <c r="R483" s="949"/>
      <c r="S483" s="949"/>
      <c r="T483" s="950" t="s">
        <v>1082</v>
      </c>
      <c r="U483" s="949" t="s">
        <v>1081</v>
      </c>
      <c r="V483" s="949"/>
      <c r="W483" s="949" t="s">
        <v>1081</v>
      </c>
      <c r="X483" s="949"/>
      <c r="Y483" s="949"/>
      <c r="Z483" s="949" t="s">
        <v>1082</v>
      </c>
      <c r="AA483" s="949"/>
      <c r="AB483" s="949"/>
      <c r="AC483" s="949"/>
      <c r="AD483" s="949"/>
      <c r="AE483" s="949"/>
      <c r="AF483" s="953" t="s">
        <v>1082</v>
      </c>
      <c r="AG483" s="953"/>
      <c r="AH483" s="953"/>
      <c r="AI483" s="953"/>
      <c r="AJ483" s="953"/>
      <c r="AK483" s="951" t="s">
        <v>1069</v>
      </c>
      <c r="AL483" s="951"/>
      <c r="AM483" s="951"/>
      <c r="AN483" s="951"/>
      <c r="AO483" s="951"/>
      <c r="AP483" s="951"/>
      <c r="AQ483" s="951"/>
      <c r="AR483" s="951"/>
      <c r="AS483" s="951"/>
      <c r="AT483" s="951"/>
      <c r="AU483" s="951"/>
      <c r="AV483" s="951"/>
      <c r="AW483" s="951"/>
      <c r="AX483" s="951"/>
      <c r="AY483" s="951"/>
      <c r="AZ483" s="951"/>
      <c r="BA483" s="951"/>
      <c r="BB483" s="951"/>
      <c r="BC483" s="954"/>
      <c r="BD483" s="954"/>
      <c r="BE483" s="954"/>
      <c r="BF483" s="954"/>
      <c r="BG483" s="954"/>
      <c r="BH483" s="954"/>
      <c r="BI483" s="954"/>
      <c r="BJ483" s="954"/>
      <c r="BK483" s="954"/>
      <c r="BL483" s="951"/>
      <c r="BM483" s="951"/>
      <c r="BN483" s="951"/>
      <c r="BO483" s="951"/>
      <c r="BP483" s="951"/>
      <c r="BQ483" s="951"/>
      <c r="BR483" s="951"/>
      <c r="BS483" s="948" t="s">
        <v>494</v>
      </c>
      <c r="BT483" s="953"/>
    </row>
    <row r="484" spans="1:72">
      <c r="A484" s="952"/>
      <c r="B484" s="952"/>
      <c r="C484" s="950"/>
      <c r="D484" s="950"/>
      <c r="E484" s="950"/>
      <c r="F484" s="948"/>
      <c r="G484" s="948"/>
      <c r="H484" s="948"/>
      <c r="I484" s="948"/>
      <c r="J484" s="948"/>
      <c r="K484" s="948"/>
      <c r="L484" s="948"/>
      <c r="M484" s="952"/>
      <c r="N484" s="950"/>
      <c r="O484" s="950"/>
      <c r="P484" s="950"/>
      <c r="Q484" s="950"/>
      <c r="R484" s="950"/>
      <c r="S484" s="950"/>
      <c r="T484" s="950"/>
      <c r="U484" s="950"/>
      <c r="V484" s="950"/>
      <c r="W484" s="950"/>
      <c r="X484" s="950"/>
      <c r="Y484" s="950"/>
      <c r="Z484" s="950"/>
      <c r="AA484" s="950"/>
      <c r="AB484" s="950"/>
      <c r="AC484" s="950"/>
      <c r="AD484" s="950"/>
      <c r="AE484" s="950"/>
      <c r="AF484" s="955"/>
      <c r="AG484" s="955"/>
      <c r="AH484" s="955"/>
      <c r="AI484" s="955"/>
      <c r="AJ484" s="955"/>
      <c r="AK484" s="948"/>
      <c r="AL484" s="948"/>
      <c r="AM484" s="948"/>
      <c r="AN484" s="948"/>
      <c r="AO484" s="948"/>
      <c r="AP484" s="948"/>
      <c r="AQ484" s="948"/>
      <c r="AR484" s="948"/>
      <c r="AS484" s="948"/>
      <c r="AT484" s="948"/>
      <c r="AU484" s="948"/>
      <c r="AV484" s="948"/>
      <c r="AW484" s="948"/>
      <c r="AX484" s="948"/>
      <c r="AY484" s="948"/>
      <c r="AZ484" s="948"/>
      <c r="BA484" s="948"/>
      <c r="BB484" s="948"/>
      <c r="BC484" s="957"/>
      <c r="BD484" s="957"/>
      <c r="BE484" s="957"/>
      <c r="BF484" s="957"/>
      <c r="BG484" s="957"/>
      <c r="BH484" s="957"/>
      <c r="BI484" s="957"/>
      <c r="BJ484" s="957"/>
      <c r="BK484" s="957"/>
      <c r="BL484" s="948"/>
      <c r="BM484" s="948"/>
      <c r="BN484" s="948"/>
      <c r="BO484" s="948"/>
      <c r="BP484" s="948"/>
      <c r="BQ484" s="948"/>
      <c r="BR484" s="948"/>
      <c r="BS484" s="948"/>
      <c r="BT484" s="955"/>
    </row>
    <row r="485" spans="1:72">
      <c r="A485" s="958" t="s">
        <v>1205</v>
      </c>
      <c r="B485" s="952"/>
      <c r="C485" s="950"/>
      <c r="D485" s="950"/>
      <c r="E485" s="950"/>
      <c r="F485" s="948"/>
      <c r="G485" s="948"/>
      <c r="H485" s="948"/>
      <c r="I485" s="948"/>
      <c r="J485" s="948"/>
      <c r="K485" s="948"/>
      <c r="L485" s="948"/>
      <c r="M485" s="952"/>
      <c r="N485" s="958" t="str">
        <f>A485</f>
        <v>Balok Lantai 16</v>
      </c>
      <c r="O485" s="950"/>
      <c r="P485" s="950"/>
      <c r="Q485" s="950"/>
      <c r="R485" s="950"/>
      <c r="S485" s="950"/>
      <c r="T485" s="950"/>
      <c r="U485" s="950"/>
      <c r="V485" s="950"/>
      <c r="W485" s="950"/>
      <c r="X485" s="950"/>
      <c r="Y485" s="950"/>
      <c r="Z485" s="950"/>
      <c r="AA485" s="950"/>
      <c r="AB485" s="950"/>
      <c r="AC485" s="950"/>
      <c r="AD485" s="950"/>
      <c r="AE485" s="950"/>
      <c r="AF485" s="955"/>
      <c r="AG485" s="955"/>
      <c r="AH485" s="955"/>
      <c r="AI485" s="955"/>
      <c r="AJ485" s="955"/>
      <c r="AK485" s="948"/>
      <c r="AL485" s="948"/>
      <c r="AM485" s="948"/>
      <c r="AN485" s="948"/>
      <c r="AO485" s="948"/>
      <c r="AP485" s="948"/>
      <c r="AQ485" s="948"/>
      <c r="AR485" s="948"/>
      <c r="AS485" s="948"/>
      <c r="AT485" s="948"/>
      <c r="AU485" s="948"/>
      <c r="AV485" s="948"/>
      <c r="AW485" s="948"/>
      <c r="AX485" s="948"/>
      <c r="AY485" s="948"/>
      <c r="AZ485" s="948"/>
      <c r="BA485" s="948"/>
      <c r="BB485" s="948"/>
      <c r="BC485" s="957"/>
      <c r="BD485" s="957"/>
      <c r="BE485" s="957"/>
      <c r="BF485" s="957"/>
      <c r="BG485" s="957"/>
      <c r="BH485" s="957"/>
      <c r="BI485" s="957"/>
      <c r="BJ485" s="957"/>
      <c r="BK485" s="957"/>
      <c r="BL485" s="948"/>
      <c r="BM485" s="948"/>
      <c r="BN485" s="948"/>
      <c r="BO485" s="948"/>
      <c r="BP485" s="948"/>
      <c r="BQ485" s="948"/>
      <c r="BR485" s="948"/>
      <c r="BS485" s="948"/>
      <c r="BT485" s="955"/>
    </row>
    <row r="486" spans="1:72">
      <c r="A486" s="960" t="s">
        <v>2</v>
      </c>
      <c r="B486" s="960" t="s">
        <v>1084</v>
      </c>
      <c r="C486" s="950"/>
      <c r="D486" s="950"/>
      <c r="E486" s="950"/>
      <c r="F486" s="948"/>
      <c r="G486" s="948"/>
      <c r="H486" s="948"/>
      <c r="I486" s="948"/>
      <c r="J486" s="948"/>
      <c r="K486" s="948"/>
      <c r="L486" s="948"/>
      <c r="M486" s="952"/>
      <c r="N486" s="959" t="str">
        <f>A486</f>
        <v>A</v>
      </c>
      <c r="O486" s="959" t="str">
        <f>B486</f>
        <v>Vertikal</v>
      </c>
      <c r="P486" s="950"/>
      <c r="Q486" s="950"/>
      <c r="R486" s="950"/>
      <c r="S486" s="950"/>
      <c r="T486" s="950"/>
      <c r="U486" s="950"/>
      <c r="V486" s="950"/>
      <c r="W486" s="950"/>
      <c r="X486" s="950"/>
      <c r="Y486" s="950"/>
      <c r="Z486" s="950"/>
      <c r="AA486" s="950"/>
      <c r="AB486" s="950"/>
      <c r="AC486" s="950"/>
      <c r="AD486" s="950"/>
      <c r="AE486" s="950"/>
      <c r="AF486" s="955"/>
      <c r="AG486" s="955"/>
      <c r="AH486" s="955"/>
      <c r="AI486" s="955"/>
      <c r="AJ486" s="955"/>
      <c r="AK486" s="948"/>
      <c r="AL486" s="948"/>
      <c r="AM486" s="948"/>
      <c r="AN486" s="948"/>
      <c r="AO486" s="948"/>
      <c r="AP486" s="948"/>
      <c r="AQ486" s="948"/>
      <c r="AR486" s="948"/>
      <c r="AS486" s="948"/>
      <c r="AT486" s="948"/>
      <c r="AU486" s="948"/>
      <c r="AV486" s="948"/>
      <c r="AW486" s="948"/>
      <c r="AX486" s="948"/>
      <c r="AY486" s="948"/>
      <c r="AZ486" s="948"/>
      <c r="BA486" s="948"/>
      <c r="BB486" s="948"/>
      <c r="BC486" s="957"/>
      <c r="BD486" s="957"/>
      <c r="BE486" s="957"/>
      <c r="BF486" s="957"/>
      <c r="BG486" s="957"/>
      <c r="BH486" s="957"/>
      <c r="BI486" s="957"/>
      <c r="BJ486" s="957"/>
      <c r="BK486" s="957"/>
      <c r="BL486" s="948"/>
      <c r="BM486" s="948"/>
      <c r="BN486" s="948"/>
      <c r="BO486" s="948"/>
      <c r="BP486" s="948"/>
      <c r="BQ486" s="948"/>
      <c r="BR486" s="948"/>
      <c r="BS486" s="948"/>
      <c r="BT486" s="955"/>
    </row>
    <row r="487" spans="1:72">
      <c r="A487" s="952">
        <v>1</v>
      </c>
      <c r="B487" s="952" t="s">
        <v>1161</v>
      </c>
      <c r="C487" s="950" t="s">
        <v>1185</v>
      </c>
      <c r="D487" s="950">
        <v>1</v>
      </c>
      <c r="E487" s="950">
        <v>1</v>
      </c>
      <c r="F487" s="948">
        <v>64</v>
      </c>
      <c r="G487" s="948">
        <v>0.3</v>
      </c>
      <c r="H487" s="948">
        <v>0.65</v>
      </c>
      <c r="I487" s="948">
        <v>0.12</v>
      </c>
      <c r="J487" s="948">
        <f t="shared" ref="J487" si="1230">H487-I487</f>
        <v>0.53</v>
      </c>
      <c r="K487" s="948">
        <f>F487*G487*J487*D487*E487</f>
        <v>10.176</v>
      </c>
      <c r="L487" s="948">
        <f>(2*J487)*F487*E487*D487</f>
        <v>67.84</v>
      </c>
      <c r="M487" s="952"/>
      <c r="N487" s="950">
        <v>19</v>
      </c>
      <c r="O487" s="950">
        <v>19</v>
      </c>
      <c r="P487" s="950">
        <v>19</v>
      </c>
      <c r="Q487" s="950">
        <v>19</v>
      </c>
      <c r="R487" s="950">
        <v>19</v>
      </c>
      <c r="S487" s="950">
        <v>19</v>
      </c>
      <c r="T487" s="950">
        <v>8</v>
      </c>
      <c r="U487" s="950"/>
      <c r="V487" s="950"/>
      <c r="W487" s="950">
        <v>200</v>
      </c>
      <c r="X487" s="950">
        <v>100</v>
      </c>
      <c r="Y487" s="950">
        <v>100</v>
      </c>
      <c r="Z487" s="950">
        <v>4</v>
      </c>
      <c r="AA487" s="950">
        <v>4</v>
      </c>
      <c r="AB487" s="950">
        <v>2</v>
      </c>
      <c r="AC487" s="950">
        <v>2</v>
      </c>
      <c r="AD487" s="950">
        <v>4</v>
      </c>
      <c r="AE487" s="950">
        <v>4</v>
      </c>
      <c r="AF487" s="955">
        <f t="shared" ref="AF487:AF491" si="1231">(F487/4)/(W487/1000)+1</f>
        <v>81</v>
      </c>
      <c r="AG487" s="955">
        <f t="shared" ref="AG487:AG491" si="1232">(F487/2)/(X487/1000)+1</f>
        <v>321</v>
      </c>
      <c r="AH487" s="955">
        <f t="shared" ref="AH487:AH491" si="1233">(F487/4)/(Y487/1000)+1</f>
        <v>161</v>
      </c>
      <c r="AI487" s="955">
        <v>0</v>
      </c>
      <c r="AJ487" s="955">
        <v>0</v>
      </c>
      <c r="AK487" s="948">
        <f t="shared" ref="AK487:AK491" si="1234">(F487/4)+(20*N487/1000)+(10*N487/1000)+(8*N487/1000)+(6*2*N487/1000)</f>
        <v>16.950000000000003</v>
      </c>
      <c r="AL487" s="948">
        <f t="shared" ref="AL487:AL491" si="1235">(F487/4)+(20*O487/1000)+(10*O487/1000)+(8*O487/1000)+(6*2*O487/1000)</f>
        <v>16.950000000000003</v>
      </c>
      <c r="AM487" s="948">
        <f t="shared" ref="AM487:AM491" si="1236">(F487/2)+(20*P487/1000)+(6*2*P487/1000)</f>
        <v>32.608000000000004</v>
      </c>
      <c r="AN487" s="948">
        <f t="shared" ref="AN487:AN491" si="1237">(F487/2)+(20*Q487/1000)+(6*2*Q487/1000)</f>
        <v>32.608000000000004</v>
      </c>
      <c r="AO487" s="948">
        <f t="shared" ref="AO487:AO491" si="1238">(F487/4)+(20*R487/1000)+(10*R487/1000)+(8*R487/1000)+(6*2*R487/1000)</f>
        <v>16.950000000000003</v>
      </c>
      <c r="AP487" s="948">
        <f t="shared" ref="AP487:AP491" si="1239">(F487/4)+(20*S487/1000)+(10*S487/1000)+(8*S487/1000)+(6*2*S487/1000)</f>
        <v>16.950000000000003</v>
      </c>
      <c r="AQ487" s="948">
        <f t="shared" ref="AQ487:AQ491" si="1240">(2*G487)+(2*H487)+(6*T487/1000)-(8*0.03)</f>
        <v>1.708</v>
      </c>
      <c r="AR487" s="948">
        <f t="shared" ref="AR487:AR491" si="1241">((H487)+(2*6*U487/1000)-(2*0.03))*AI487</f>
        <v>0</v>
      </c>
      <c r="AS487" s="948">
        <f t="shared" ref="AS487:AS491" si="1242">((G487)+(2*6*V487/1000)-(2*0.03))*AJ487</f>
        <v>0</v>
      </c>
      <c r="AT487" s="948">
        <f t="shared" ref="AT487:AT491" si="1243">AK487*Z487*E487*D487</f>
        <v>67.800000000000011</v>
      </c>
      <c r="AU487" s="948">
        <f t="shared" ref="AU487:AU491" si="1244">AL487*AA487*E487*D487</f>
        <v>67.800000000000011</v>
      </c>
      <c r="AV487" s="948">
        <f t="shared" ref="AV487:AV491" si="1245">AM487*AB487*E487*D487</f>
        <v>65.216000000000008</v>
      </c>
      <c r="AW487" s="948">
        <f t="shared" ref="AW487:AW491" si="1246">AN487*AC487*E487*D487</f>
        <v>65.216000000000008</v>
      </c>
      <c r="AX487" s="948">
        <f t="shared" ref="AX487:AX491" si="1247">AO487*AD487*E487*D487</f>
        <v>67.800000000000011</v>
      </c>
      <c r="AY487" s="948">
        <f t="shared" ref="AY487:AY491" si="1248">AP487*AE487*E487*D487</f>
        <v>67.800000000000011</v>
      </c>
      <c r="AZ487" s="948">
        <f t="shared" ref="AZ487:AZ491" si="1249">AQ487*(AF487+AG487+AH487)*E487*D487</f>
        <v>961.60399999999993</v>
      </c>
      <c r="BA487" s="948">
        <f t="shared" ref="BA487:BA491" si="1250">AR487*(AF487+AG487+AH487)*E487*D487</f>
        <v>0</v>
      </c>
      <c r="BB487" s="948">
        <f t="shared" ref="BB487:BB491" si="1251">AS487*(AF487+AG487+AH487)*E487*D487</f>
        <v>0</v>
      </c>
      <c r="BC487" s="957">
        <f t="shared" ref="BC487:BK491" si="1252">N487*N487*0.074/12</f>
        <v>2.2261666666666664</v>
      </c>
      <c r="BD487" s="957">
        <f t="shared" si="1252"/>
        <v>2.2261666666666664</v>
      </c>
      <c r="BE487" s="957">
        <f t="shared" si="1252"/>
        <v>2.2261666666666664</v>
      </c>
      <c r="BF487" s="957">
        <f t="shared" si="1252"/>
        <v>2.2261666666666664</v>
      </c>
      <c r="BG487" s="957">
        <f t="shared" si="1252"/>
        <v>2.2261666666666664</v>
      </c>
      <c r="BH487" s="957">
        <f t="shared" si="1252"/>
        <v>2.2261666666666664</v>
      </c>
      <c r="BI487" s="957">
        <f t="shared" si="1252"/>
        <v>0.39466666666666667</v>
      </c>
      <c r="BJ487" s="957">
        <f t="shared" si="1252"/>
        <v>0</v>
      </c>
      <c r="BK487" s="957">
        <f t="shared" si="1252"/>
        <v>0</v>
      </c>
      <c r="BL487" s="948">
        <f t="shared" ref="BL487:BR491" si="1253">AT487*BC487</f>
        <v>150.9341</v>
      </c>
      <c r="BM487" s="948">
        <f t="shared" si="1253"/>
        <v>150.9341</v>
      </c>
      <c r="BN487" s="948">
        <f t="shared" si="1253"/>
        <v>145.18168533333335</v>
      </c>
      <c r="BO487" s="948">
        <f t="shared" si="1253"/>
        <v>145.18168533333335</v>
      </c>
      <c r="BP487" s="948">
        <f t="shared" si="1253"/>
        <v>150.9341</v>
      </c>
      <c r="BQ487" s="948">
        <f t="shared" si="1253"/>
        <v>150.9341</v>
      </c>
      <c r="BR487" s="948">
        <f t="shared" si="1253"/>
        <v>379.51304533333331</v>
      </c>
      <c r="BS487" s="948">
        <f>BB487*BK487</f>
        <v>0</v>
      </c>
      <c r="BT487" s="955">
        <f>SUM(BL487:BS487)/K487</f>
        <v>125.15849213836478</v>
      </c>
    </row>
    <row r="488" spans="1:72">
      <c r="A488" s="952">
        <v>2</v>
      </c>
      <c r="B488" s="952" t="s">
        <v>1162</v>
      </c>
      <c r="C488" s="950" t="s">
        <v>1163</v>
      </c>
      <c r="D488" s="950">
        <v>1</v>
      </c>
      <c r="E488" s="950">
        <v>1</v>
      </c>
      <c r="F488" s="948">
        <v>64</v>
      </c>
      <c r="G488" s="948">
        <v>0.25</v>
      </c>
      <c r="H488" s="948">
        <v>0.6</v>
      </c>
      <c r="I488" s="948">
        <v>0.12</v>
      </c>
      <c r="J488" s="948">
        <f>H488-I488</f>
        <v>0.48</v>
      </c>
      <c r="K488" s="948">
        <f>F488*G488*J488*D488*E488</f>
        <v>7.68</v>
      </c>
      <c r="L488" s="948">
        <f>(2*J488)*F488*E488*D488</f>
        <v>61.44</v>
      </c>
      <c r="M488" s="952"/>
      <c r="N488" s="950">
        <v>16</v>
      </c>
      <c r="O488" s="950">
        <v>16</v>
      </c>
      <c r="P488" s="950">
        <v>16</v>
      </c>
      <c r="Q488" s="950">
        <v>16</v>
      </c>
      <c r="R488" s="950">
        <v>16</v>
      </c>
      <c r="S488" s="950">
        <v>16</v>
      </c>
      <c r="T488" s="950">
        <v>8</v>
      </c>
      <c r="U488" s="950"/>
      <c r="V488" s="950"/>
      <c r="W488" s="950">
        <v>200</v>
      </c>
      <c r="X488" s="950">
        <v>100</v>
      </c>
      <c r="Y488" s="950">
        <v>100</v>
      </c>
      <c r="Z488" s="950">
        <v>4</v>
      </c>
      <c r="AA488" s="950">
        <v>4</v>
      </c>
      <c r="AB488" s="950">
        <v>2</v>
      </c>
      <c r="AC488" s="950">
        <v>2</v>
      </c>
      <c r="AD488" s="950">
        <v>4</v>
      </c>
      <c r="AE488" s="950">
        <v>4</v>
      </c>
      <c r="AF488" s="955">
        <f t="shared" si="1231"/>
        <v>81</v>
      </c>
      <c r="AG488" s="955">
        <f t="shared" si="1232"/>
        <v>321</v>
      </c>
      <c r="AH488" s="955">
        <f t="shared" si="1233"/>
        <v>161</v>
      </c>
      <c r="AI488" s="955">
        <v>0</v>
      </c>
      <c r="AJ488" s="955">
        <v>0</v>
      </c>
      <c r="AK488" s="948">
        <f t="shared" si="1234"/>
        <v>16.8</v>
      </c>
      <c r="AL488" s="948">
        <f t="shared" si="1235"/>
        <v>16.8</v>
      </c>
      <c r="AM488" s="948">
        <f t="shared" si="1236"/>
        <v>32.512</v>
      </c>
      <c r="AN488" s="948">
        <f t="shared" si="1237"/>
        <v>32.512</v>
      </c>
      <c r="AO488" s="948">
        <f t="shared" si="1238"/>
        <v>16.8</v>
      </c>
      <c r="AP488" s="948">
        <f t="shared" si="1239"/>
        <v>16.8</v>
      </c>
      <c r="AQ488" s="948">
        <f t="shared" si="1240"/>
        <v>1.508</v>
      </c>
      <c r="AR488" s="948">
        <f t="shared" si="1241"/>
        <v>0</v>
      </c>
      <c r="AS488" s="948">
        <f t="shared" si="1242"/>
        <v>0</v>
      </c>
      <c r="AT488" s="948">
        <f t="shared" si="1243"/>
        <v>67.2</v>
      </c>
      <c r="AU488" s="948">
        <f t="shared" si="1244"/>
        <v>67.2</v>
      </c>
      <c r="AV488" s="948">
        <f t="shared" si="1245"/>
        <v>65.024000000000001</v>
      </c>
      <c r="AW488" s="948">
        <f t="shared" si="1246"/>
        <v>65.024000000000001</v>
      </c>
      <c r="AX488" s="948">
        <f t="shared" si="1247"/>
        <v>67.2</v>
      </c>
      <c r="AY488" s="948">
        <f t="shared" si="1248"/>
        <v>67.2</v>
      </c>
      <c r="AZ488" s="948">
        <f t="shared" si="1249"/>
        <v>849.00400000000002</v>
      </c>
      <c r="BA488" s="948">
        <f t="shared" si="1250"/>
        <v>0</v>
      </c>
      <c r="BB488" s="948">
        <f t="shared" si="1251"/>
        <v>0</v>
      </c>
      <c r="BC488" s="957">
        <f t="shared" si="1252"/>
        <v>1.5786666666666667</v>
      </c>
      <c r="BD488" s="957">
        <f t="shared" si="1252"/>
        <v>1.5786666666666667</v>
      </c>
      <c r="BE488" s="957">
        <f t="shared" si="1252"/>
        <v>1.5786666666666667</v>
      </c>
      <c r="BF488" s="957">
        <f t="shared" si="1252"/>
        <v>1.5786666666666667</v>
      </c>
      <c r="BG488" s="957">
        <f t="shared" si="1252"/>
        <v>1.5786666666666667</v>
      </c>
      <c r="BH488" s="957">
        <f t="shared" si="1252"/>
        <v>1.5786666666666667</v>
      </c>
      <c r="BI488" s="957">
        <f t="shared" si="1252"/>
        <v>0.39466666666666667</v>
      </c>
      <c r="BJ488" s="957">
        <f t="shared" si="1252"/>
        <v>0</v>
      </c>
      <c r="BK488" s="957">
        <f t="shared" si="1252"/>
        <v>0</v>
      </c>
      <c r="BL488" s="948">
        <f t="shared" si="1253"/>
        <v>106.0864</v>
      </c>
      <c r="BM488" s="948">
        <f t="shared" si="1253"/>
        <v>106.0864</v>
      </c>
      <c r="BN488" s="948">
        <f t="shared" si="1253"/>
        <v>102.65122133333334</v>
      </c>
      <c r="BO488" s="948">
        <f t="shared" si="1253"/>
        <v>102.65122133333334</v>
      </c>
      <c r="BP488" s="948">
        <f t="shared" si="1253"/>
        <v>106.0864</v>
      </c>
      <c r="BQ488" s="948">
        <f t="shared" si="1253"/>
        <v>106.0864</v>
      </c>
      <c r="BR488" s="948">
        <f t="shared" si="1253"/>
        <v>335.07357866666666</v>
      </c>
      <c r="BS488" s="948">
        <f>BB488*BK488</f>
        <v>0</v>
      </c>
      <c r="BT488" s="955">
        <f>SUM(BL488:BS488)/K488</f>
        <v>125.61479444444446</v>
      </c>
    </row>
    <row r="489" spans="1:72">
      <c r="A489" s="952">
        <v>3</v>
      </c>
      <c r="B489" s="952" t="s">
        <v>1092</v>
      </c>
      <c r="C489" s="950" t="s">
        <v>1093</v>
      </c>
      <c r="D489" s="950">
        <v>1</v>
      </c>
      <c r="E489" s="950">
        <v>1</v>
      </c>
      <c r="F489" s="948">
        <v>80</v>
      </c>
      <c r="G489" s="948">
        <v>0.25</v>
      </c>
      <c r="H489" s="948">
        <v>0.6</v>
      </c>
      <c r="I489" s="948">
        <v>0.12</v>
      </c>
      <c r="J489" s="948">
        <f>H489-I489</f>
        <v>0.48</v>
      </c>
      <c r="K489" s="948">
        <f>F489*G489*J489*D489*E489</f>
        <v>9.6</v>
      </c>
      <c r="L489" s="948">
        <f>(2*J489)*F489*E489*D489</f>
        <v>76.8</v>
      </c>
      <c r="M489" s="952"/>
      <c r="N489" s="950">
        <v>16</v>
      </c>
      <c r="O489" s="950">
        <v>16</v>
      </c>
      <c r="P489" s="950">
        <v>16</v>
      </c>
      <c r="Q489" s="950">
        <v>16</v>
      </c>
      <c r="R489" s="950">
        <v>16</v>
      </c>
      <c r="S489" s="950">
        <v>16</v>
      </c>
      <c r="T489" s="950">
        <v>8</v>
      </c>
      <c r="U489" s="950"/>
      <c r="V489" s="950"/>
      <c r="W489" s="950">
        <v>200</v>
      </c>
      <c r="X489" s="950">
        <v>100</v>
      </c>
      <c r="Y489" s="950">
        <v>100</v>
      </c>
      <c r="Z489" s="950">
        <v>9</v>
      </c>
      <c r="AA489" s="950">
        <v>6</v>
      </c>
      <c r="AB489" s="950">
        <v>4</v>
      </c>
      <c r="AC489" s="950">
        <v>4</v>
      </c>
      <c r="AD489" s="950">
        <v>9</v>
      </c>
      <c r="AE489" s="950">
        <v>6</v>
      </c>
      <c r="AF489" s="955">
        <f t="shared" si="1231"/>
        <v>101</v>
      </c>
      <c r="AG489" s="955">
        <f t="shared" si="1232"/>
        <v>401</v>
      </c>
      <c r="AH489" s="955">
        <f t="shared" si="1233"/>
        <v>201</v>
      </c>
      <c r="AI489" s="955">
        <v>0</v>
      </c>
      <c r="AJ489" s="955">
        <v>0</v>
      </c>
      <c r="AK489" s="948">
        <f t="shared" si="1234"/>
        <v>20.8</v>
      </c>
      <c r="AL489" s="948">
        <f t="shared" si="1235"/>
        <v>20.8</v>
      </c>
      <c r="AM489" s="948">
        <f t="shared" si="1236"/>
        <v>40.512</v>
      </c>
      <c r="AN489" s="948">
        <f t="shared" si="1237"/>
        <v>40.512</v>
      </c>
      <c r="AO489" s="948">
        <f t="shared" si="1238"/>
        <v>20.8</v>
      </c>
      <c r="AP489" s="948">
        <f t="shared" si="1239"/>
        <v>20.8</v>
      </c>
      <c r="AQ489" s="948">
        <f t="shared" si="1240"/>
        <v>1.508</v>
      </c>
      <c r="AR489" s="948">
        <f t="shared" si="1241"/>
        <v>0</v>
      </c>
      <c r="AS489" s="948">
        <f t="shared" si="1242"/>
        <v>0</v>
      </c>
      <c r="AT489" s="948">
        <f t="shared" si="1243"/>
        <v>187.20000000000002</v>
      </c>
      <c r="AU489" s="948">
        <f t="shared" si="1244"/>
        <v>124.80000000000001</v>
      </c>
      <c r="AV489" s="948">
        <f t="shared" si="1245"/>
        <v>162.048</v>
      </c>
      <c r="AW489" s="948">
        <f t="shared" si="1246"/>
        <v>162.048</v>
      </c>
      <c r="AX489" s="948">
        <f t="shared" si="1247"/>
        <v>187.20000000000002</v>
      </c>
      <c r="AY489" s="948">
        <f t="shared" si="1248"/>
        <v>124.80000000000001</v>
      </c>
      <c r="AZ489" s="948">
        <f t="shared" si="1249"/>
        <v>1060.124</v>
      </c>
      <c r="BA489" s="948">
        <f t="shared" si="1250"/>
        <v>0</v>
      </c>
      <c r="BB489" s="948">
        <f t="shared" si="1251"/>
        <v>0</v>
      </c>
      <c r="BC489" s="957">
        <f t="shared" si="1252"/>
        <v>1.5786666666666667</v>
      </c>
      <c r="BD489" s="957">
        <f t="shared" si="1252"/>
        <v>1.5786666666666667</v>
      </c>
      <c r="BE489" s="957">
        <f t="shared" si="1252"/>
        <v>1.5786666666666667</v>
      </c>
      <c r="BF489" s="957">
        <f t="shared" si="1252"/>
        <v>1.5786666666666667</v>
      </c>
      <c r="BG489" s="957">
        <f t="shared" si="1252"/>
        <v>1.5786666666666667</v>
      </c>
      <c r="BH489" s="957">
        <f t="shared" si="1252"/>
        <v>1.5786666666666667</v>
      </c>
      <c r="BI489" s="957">
        <f t="shared" si="1252"/>
        <v>0.39466666666666667</v>
      </c>
      <c r="BJ489" s="957">
        <f t="shared" si="1252"/>
        <v>0</v>
      </c>
      <c r="BK489" s="957">
        <f t="shared" si="1252"/>
        <v>0</v>
      </c>
      <c r="BL489" s="948">
        <f t="shared" si="1253"/>
        <v>295.52640000000002</v>
      </c>
      <c r="BM489" s="948">
        <f t="shared" si="1253"/>
        <v>197.01760000000002</v>
      </c>
      <c r="BN489" s="948">
        <f t="shared" si="1253"/>
        <v>255.81977599999999</v>
      </c>
      <c r="BO489" s="948">
        <f t="shared" si="1253"/>
        <v>255.81977599999999</v>
      </c>
      <c r="BP489" s="948">
        <f t="shared" si="1253"/>
        <v>295.52640000000002</v>
      </c>
      <c r="BQ489" s="948">
        <f t="shared" si="1253"/>
        <v>197.01760000000002</v>
      </c>
      <c r="BR489" s="948">
        <f t="shared" si="1253"/>
        <v>418.39560533333332</v>
      </c>
      <c r="BS489" s="948">
        <f>BB489*BK489</f>
        <v>0</v>
      </c>
      <c r="BT489" s="955">
        <f>SUM(BL489:BS489)/K489</f>
        <v>199.49199555555555</v>
      </c>
    </row>
    <row r="490" spans="1:72">
      <c r="A490" s="952">
        <v>4</v>
      </c>
      <c r="B490" s="952" t="s">
        <v>1164</v>
      </c>
      <c r="C490" s="950" t="s">
        <v>1165</v>
      </c>
      <c r="D490" s="950">
        <v>1</v>
      </c>
      <c r="E490" s="950">
        <v>1</v>
      </c>
      <c r="F490" s="948">
        <v>80</v>
      </c>
      <c r="G490" s="948">
        <v>0.3</v>
      </c>
      <c r="H490" s="948">
        <v>0.65</v>
      </c>
      <c r="I490" s="948">
        <v>0.12</v>
      </c>
      <c r="J490" s="948">
        <f>H490-I490</f>
        <v>0.53</v>
      </c>
      <c r="K490" s="948">
        <f>F490*G490*J490*D490*E490</f>
        <v>12.72</v>
      </c>
      <c r="L490" s="948">
        <f>(2*J490)*F490*E490*D490</f>
        <v>84.800000000000011</v>
      </c>
      <c r="M490" s="952"/>
      <c r="N490" s="950">
        <v>16</v>
      </c>
      <c r="O490" s="950">
        <v>16</v>
      </c>
      <c r="P490" s="950">
        <v>16</v>
      </c>
      <c r="Q490" s="950">
        <v>16</v>
      </c>
      <c r="R490" s="950">
        <v>16</v>
      </c>
      <c r="S490" s="950">
        <v>16</v>
      </c>
      <c r="T490" s="950">
        <v>8</v>
      </c>
      <c r="U490" s="950"/>
      <c r="V490" s="950"/>
      <c r="W490" s="950">
        <v>200</v>
      </c>
      <c r="X490" s="950">
        <v>100</v>
      </c>
      <c r="Y490" s="950">
        <v>100</v>
      </c>
      <c r="Z490" s="950">
        <v>4</v>
      </c>
      <c r="AA490" s="950">
        <v>4</v>
      </c>
      <c r="AB490" s="950">
        <v>2</v>
      </c>
      <c r="AC490" s="950">
        <v>2</v>
      </c>
      <c r="AD490" s="950">
        <v>4</v>
      </c>
      <c r="AE490" s="950">
        <v>4</v>
      </c>
      <c r="AF490" s="955">
        <f t="shared" si="1231"/>
        <v>101</v>
      </c>
      <c r="AG490" s="955">
        <f t="shared" si="1232"/>
        <v>401</v>
      </c>
      <c r="AH490" s="955">
        <f t="shared" si="1233"/>
        <v>201</v>
      </c>
      <c r="AI490" s="955">
        <v>0</v>
      </c>
      <c r="AJ490" s="955">
        <v>0</v>
      </c>
      <c r="AK490" s="948">
        <f t="shared" si="1234"/>
        <v>20.8</v>
      </c>
      <c r="AL490" s="948">
        <f t="shared" si="1235"/>
        <v>20.8</v>
      </c>
      <c r="AM490" s="948">
        <f t="shared" si="1236"/>
        <v>40.512</v>
      </c>
      <c r="AN490" s="948">
        <f t="shared" si="1237"/>
        <v>40.512</v>
      </c>
      <c r="AO490" s="948">
        <f t="shared" si="1238"/>
        <v>20.8</v>
      </c>
      <c r="AP490" s="948">
        <f t="shared" si="1239"/>
        <v>20.8</v>
      </c>
      <c r="AQ490" s="948">
        <f t="shared" si="1240"/>
        <v>1.708</v>
      </c>
      <c r="AR490" s="948">
        <f t="shared" si="1241"/>
        <v>0</v>
      </c>
      <c r="AS490" s="948">
        <f t="shared" si="1242"/>
        <v>0</v>
      </c>
      <c r="AT490" s="948">
        <f t="shared" si="1243"/>
        <v>83.2</v>
      </c>
      <c r="AU490" s="948">
        <f t="shared" si="1244"/>
        <v>83.2</v>
      </c>
      <c r="AV490" s="948">
        <f t="shared" si="1245"/>
        <v>81.024000000000001</v>
      </c>
      <c r="AW490" s="948">
        <f t="shared" si="1246"/>
        <v>81.024000000000001</v>
      </c>
      <c r="AX490" s="948">
        <f t="shared" si="1247"/>
        <v>83.2</v>
      </c>
      <c r="AY490" s="948">
        <f t="shared" si="1248"/>
        <v>83.2</v>
      </c>
      <c r="AZ490" s="948">
        <f t="shared" si="1249"/>
        <v>1200.7239999999999</v>
      </c>
      <c r="BA490" s="948">
        <f t="shared" si="1250"/>
        <v>0</v>
      </c>
      <c r="BB490" s="948">
        <f t="shared" si="1251"/>
        <v>0</v>
      </c>
      <c r="BC490" s="957">
        <f t="shared" si="1252"/>
        <v>1.5786666666666667</v>
      </c>
      <c r="BD490" s="957">
        <f t="shared" si="1252"/>
        <v>1.5786666666666667</v>
      </c>
      <c r="BE490" s="957">
        <f t="shared" si="1252"/>
        <v>1.5786666666666667</v>
      </c>
      <c r="BF490" s="957">
        <f t="shared" si="1252"/>
        <v>1.5786666666666667</v>
      </c>
      <c r="BG490" s="957">
        <f t="shared" si="1252"/>
        <v>1.5786666666666667</v>
      </c>
      <c r="BH490" s="957">
        <f t="shared" si="1252"/>
        <v>1.5786666666666667</v>
      </c>
      <c r="BI490" s="957">
        <f t="shared" si="1252"/>
        <v>0.39466666666666667</v>
      </c>
      <c r="BJ490" s="957">
        <f t="shared" si="1252"/>
        <v>0</v>
      </c>
      <c r="BK490" s="957">
        <f t="shared" si="1252"/>
        <v>0</v>
      </c>
      <c r="BL490" s="948">
        <f t="shared" si="1253"/>
        <v>131.34506666666667</v>
      </c>
      <c r="BM490" s="948">
        <f t="shared" si="1253"/>
        <v>131.34506666666667</v>
      </c>
      <c r="BN490" s="948">
        <f t="shared" si="1253"/>
        <v>127.909888</v>
      </c>
      <c r="BO490" s="948">
        <f t="shared" si="1253"/>
        <v>127.909888</v>
      </c>
      <c r="BP490" s="948">
        <f t="shared" si="1253"/>
        <v>131.34506666666667</v>
      </c>
      <c r="BQ490" s="948">
        <f t="shared" si="1253"/>
        <v>131.34506666666667</v>
      </c>
      <c r="BR490" s="948">
        <f t="shared" si="1253"/>
        <v>473.88573866666661</v>
      </c>
      <c r="BS490" s="948">
        <f>BB490*BK490</f>
        <v>0</v>
      </c>
      <c r="BT490" s="955">
        <f>SUM(BL490:BS490)/K490</f>
        <v>98.670265828092226</v>
      </c>
    </row>
    <row r="491" spans="1:72">
      <c r="A491" s="952">
        <v>5</v>
      </c>
      <c r="B491" s="952" t="s">
        <v>1166</v>
      </c>
      <c r="C491" s="950" t="s">
        <v>1103</v>
      </c>
      <c r="D491" s="950">
        <v>1</v>
      </c>
      <c r="E491" s="950">
        <v>1</v>
      </c>
      <c r="F491" s="948">
        <v>10</v>
      </c>
      <c r="G491" s="948">
        <v>0.25</v>
      </c>
      <c r="H491" s="948">
        <v>0.6</v>
      </c>
      <c r="I491" s="948">
        <v>0.12</v>
      </c>
      <c r="J491" s="948">
        <f t="shared" ref="J491" si="1254">H491-I491</f>
        <v>0.48</v>
      </c>
      <c r="K491" s="948">
        <f t="shared" ref="K491" si="1255">F491*G491*J491*D491*E491</f>
        <v>1.2</v>
      </c>
      <c r="L491" s="948">
        <f t="shared" ref="L491" si="1256">(2*J491)*F491*E491*D491+(D491*E491*F491*G491)</f>
        <v>12.1</v>
      </c>
      <c r="M491" s="952"/>
      <c r="N491" s="950">
        <v>16</v>
      </c>
      <c r="O491" s="950">
        <v>16</v>
      </c>
      <c r="P491" s="950">
        <v>16</v>
      </c>
      <c r="Q491" s="950">
        <v>16</v>
      </c>
      <c r="R491" s="950">
        <v>16</v>
      </c>
      <c r="S491" s="950">
        <v>16</v>
      </c>
      <c r="T491" s="950">
        <v>8</v>
      </c>
      <c r="U491" s="950"/>
      <c r="V491" s="950"/>
      <c r="W491" s="950">
        <v>200</v>
      </c>
      <c r="X491" s="950">
        <v>100</v>
      </c>
      <c r="Y491" s="950">
        <v>100</v>
      </c>
      <c r="Z491" s="950">
        <v>4</v>
      </c>
      <c r="AA491" s="950">
        <v>4</v>
      </c>
      <c r="AB491" s="950">
        <v>2</v>
      </c>
      <c r="AC491" s="950">
        <v>2</v>
      </c>
      <c r="AD491" s="950">
        <v>4</v>
      </c>
      <c r="AE491" s="950">
        <v>4</v>
      </c>
      <c r="AF491" s="955">
        <f t="shared" si="1231"/>
        <v>13.5</v>
      </c>
      <c r="AG491" s="955">
        <f t="shared" si="1232"/>
        <v>51</v>
      </c>
      <c r="AH491" s="955">
        <f t="shared" si="1233"/>
        <v>26</v>
      </c>
      <c r="AI491" s="955">
        <v>0</v>
      </c>
      <c r="AJ491" s="955">
        <v>0</v>
      </c>
      <c r="AK491" s="948">
        <f t="shared" si="1234"/>
        <v>3.3000000000000003</v>
      </c>
      <c r="AL491" s="948">
        <f t="shared" si="1235"/>
        <v>3.3000000000000003</v>
      </c>
      <c r="AM491" s="948">
        <f t="shared" si="1236"/>
        <v>5.5120000000000005</v>
      </c>
      <c r="AN491" s="948">
        <f t="shared" si="1237"/>
        <v>5.5120000000000005</v>
      </c>
      <c r="AO491" s="948">
        <f t="shared" si="1238"/>
        <v>3.3000000000000003</v>
      </c>
      <c r="AP491" s="948">
        <f t="shared" si="1239"/>
        <v>3.3000000000000003</v>
      </c>
      <c r="AQ491" s="948">
        <f t="shared" si="1240"/>
        <v>1.508</v>
      </c>
      <c r="AR491" s="948">
        <f t="shared" si="1241"/>
        <v>0</v>
      </c>
      <c r="AS491" s="948">
        <f t="shared" si="1242"/>
        <v>0</v>
      </c>
      <c r="AT491" s="948">
        <f t="shared" si="1243"/>
        <v>13.200000000000001</v>
      </c>
      <c r="AU491" s="948">
        <f t="shared" si="1244"/>
        <v>13.200000000000001</v>
      </c>
      <c r="AV491" s="948">
        <f t="shared" si="1245"/>
        <v>11.024000000000001</v>
      </c>
      <c r="AW491" s="948">
        <f t="shared" si="1246"/>
        <v>11.024000000000001</v>
      </c>
      <c r="AX491" s="948">
        <f t="shared" si="1247"/>
        <v>13.200000000000001</v>
      </c>
      <c r="AY491" s="948">
        <f t="shared" si="1248"/>
        <v>13.200000000000001</v>
      </c>
      <c r="AZ491" s="948">
        <f t="shared" si="1249"/>
        <v>136.47399999999999</v>
      </c>
      <c r="BA491" s="948">
        <f t="shared" si="1250"/>
        <v>0</v>
      </c>
      <c r="BB491" s="948">
        <f t="shared" si="1251"/>
        <v>0</v>
      </c>
      <c r="BC491" s="957">
        <f t="shared" si="1252"/>
        <v>1.5786666666666667</v>
      </c>
      <c r="BD491" s="957">
        <f t="shared" si="1252"/>
        <v>1.5786666666666667</v>
      </c>
      <c r="BE491" s="957">
        <f t="shared" si="1252"/>
        <v>1.5786666666666667</v>
      </c>
      <c r="BF491" s="957">
        <f t="shared" si="1252"/>
        <v>1.5786666666666667</v>
      </c>
      <c r="BG491" s="957">
        <f t="shared" si="1252"/>
        <v>1.5786666666666667</v>
      </c>
      <c r="BH491" s="957">
        <f t="shared" si="1252"/>
        <v>1.5786666666666667</v>
      </c>
      <c r="BI491" s="957">
        <f t="shared" si="1252"/>
        <v>0.39466666666666667</v>
      </c>
      <c r="BJ491" s="957">
        <f t="shared" si="1252"/>
        <v>0</v>
      </c>
      <c r="BK491" s="957">
        <f t="shared" si="1252"/>
        <v>0</v>
      </c>
      <c r="BL491" s="948">
        <f t="shared" si="1253"/>
        <v>20.8384</v>
      </c>
      <c r="BM491" s="948">
        <f t="shared" si="1253"/>
        <v>20.8384</v>
      </c>
      <c r="BN491" s="948">
        <f t="shared" si="1253"/>
        <v>17.403221333333335</v>
      </c>
      <c r="BO491" s="948">
        <f t="shared" si="1253"/>
        <v>17.403221333333335</v>
      </c>
      <c r="BP491" s="948">
        <f t="shared" si="1253"/>
        <v>20.8384</v>
      </c>
      <c r="BQ491" s="948">
        <f t="shared" si="1253"/>
        <v>20.8384</v>
      </c>
      <c r="BR491" s="948">
        <f t="shared" si="1253"/>
        <v>53.86173866666666</v>
      </c>
      <c r="BS491" s="948">
        <f>BB491*BK491</f>
        <v>0</v>
      </c>
      <c r="BT491" s="955">
        <f>SUM(BL491:BS491)/K491</f>
        <v>143.35148444444445</v>
      </c>
    </row>
    <row r="492" spans="1:72">
      <c r="A492" s="952"/>
      <c r="B492" s="952"/>
      <c r="C492" s="950"/>
      <c r="D492" s="950"/>
      <c r="E492" s="950"/>
      <c r="F492" s="948"/>
      <c r="G492" s="948"/>
      <c r="H492" s="948"/>
      <c r="I492" s="948"/>
      <c r="J492" s="948"/>
      <c r="K492" s="948"/>
      <c r="L492" s="948"/>
      <c r="M492" s="952"/>
      <c r="N492" s="948"/>
      <c r="O492" s="950"/>
      <c r="P492" s="950"/>
      <c r="Q492" s="950"/>
      <c r="R492" s="950"/>
      <c r="S492" s="950"/>
      <c r="T492" s="950"/>
      <c r="U492" s="950"/>
      <c r="V492" s="950"/>
      <c r="W492" s="950"/>
      <c r="X492" s="950"/>
      <c r="Y492" s="950"/>
      <c r="Z492" s="950"/>
      <c r="AA492" s="950"/>
      <c r="AB492" s="950"/>
      <c r="AC492" s="950"/>
      <c r="AD492" s="950"/>
      <c r="AE492" s="950"/>
      <c r="AF492" s="955"/>
      <c r="AG492" s="955"/>
      <c r="AH492" s="955"/>
      <c r="AI492" s="955"/>
      <c r="AJ492" s="955"/>
      <c r="AK492" s="948"/>
      <c r="AL492" s="948"/>
      <c r="AM492" s="948"/>
      <c r="AN492" s="948"/>
      <c r="AO492" s="948"/>
      <c r="AP492" s="948"/>
      <c r="AQ492" s="948"/>
      <c r="AR492" s="948"/>
      <c r="AS492" s="948"/>
      <c r="AT492" s="948"/>
      <c r="AU492" s="948"/>
      <c r="AV492" s="948"/>
      <c r="AW492" s="948"/>
      <c r="AX492" s="948"/>
      <c r="AY492" s="948"/>
      <c r="AZ492" s="948"/>
      <c r="BA492" s="948"/>
      <c r="BB492" s="948"/>
      <c r="BC492" s="957"/>
      <c r="BD492" s="957"/>
      <c r="BE492" s="957"/>
      <c r="BF492" s="957"/>
      <c r="BG492" s="957"/>
      <c r="BH492" s="957"/>
      <c r="BI492" s="957"/>
      <c r="BJ492" s="957"/>
      <c r="BK492" s="957"/>
      <c r="BL492" s="948"/>
      <c r="BM492" s="948"/>
      <c r="BN492" s="948"/>
      <c r="BO492" s="948"/>
      <c r="BP492" s="948"/>
      <c r="BQ492" s="948"/>
      <c r="BR492" s="948"/>
      <c r="BS492" s="948"/>
      <c r="BT492" s="955"/>
    </row>
    <row r="493" spans="1:72">
      <c r="A493" s="960" t="s">
        <v>8</v>
      </c>
      <c r="B493" s="960" t="s">
        <v>1104</v>
      </c>
      <c r="C493" s="950"/>
      <c r="D493" s="950"/>
      <c r="E493" s="950"/>
      <c r="F493" s="948"/>
      <c r="G493" s="948"/>
      <c r="H493" s="948"/>
      <c r="I493" s="948"/>
      <c r="J493" s="948"/>
      <c r="K493" s="948"/>
      <c r="L493" s="948"/>
      <c r="M493" s="952"/>
      <c r="N493" s="959" t="str">
        <f>A493</f>
        <v>B</v>
      </c>
      <c r="O493" s="959" t="str">
        <f>B493</f>
        <v>Horizontal</v>
      </c>
      <c r="P493" s="950"/>
      <c r="Q493" s="950"/>
      <c r="R493" s="950"/>
      <c r="S493" s="950"/>
      <c r="T493" s="950"/>
      <c r="U493" s="950"/>
      <c r="V493" s="950"/>
      <c r="W493" s="950"/>
      <c r="X493" s="950"/>
      <c r="Y493" s="950"/>
      <c r="Z493" s="950"/>
      <c r="AA493" s="950"/>
      <c r="AB493" s="950"/>
      <c r="AC493" s="950"/>
      <c r="AD493" s="950"/>
      <c r="AE493" s="950"/>
      <c r="AF493" s="955"/>
      <c r="AG493" s="955"/>
      <c r="AH493" s="955"/>
      <c r="AI493" s="955"/>
      <c r="AJ493" s="955"/>
      <c r="AK493" s="948"/>
      <c r="AL493" s="948"/>
      <c r="AM493" s="948"/>
      <c r="AN493" s="948"/>
      <c r="AO493" s="948"/>
      <c r="AP493" s="948"/>
      <c r="AQ493" s="948"/>
      <c r="AR493" s="948"/>
      <c r="AS493" s="948"/>
      <c r="AT493" s="948"/>
      <c r="AU493" s="948"/>
      <c r="AV493" s="948"/>
      <c r="AW493" s="948"/>
      <c r="AX493" s="948"/>
      <c r="AY493" s="948"/>
      <c r="AZ493" s="948"/>
      <c r="BA493" s="948"/>
      <c r="BB493" s="948"/>
      <c r="BC493" s="957"/>
      <c r="BD493" s="957"/>
      <c r="BE493" s="957"/>
      <c r="BF493" s="957"/>
      <c r="BG493" s="957"/>
      <c r="BH493" s="957"/>
      <c r="BI493" s="957"/>
      <c r="BJ493" s="957"/>
      <c r="BK493" s="957"/>
      <c r="BL493" s="948"/>
      <c r="BM493" s="948"/>
      <c r="BN493" s="948"/>
      <c r="BO493" s="948"/>
      <c r="BP493" s="948"/>
      <c r="BQ493" s="948"/>
      <c r="BR493" s="948"/>
      <c r="BS493" s="948"/>
      <c r="BT493" s="955"/>
    </row>
    <row r="494" spans="1:72">
      <c r="A494" s="952">
        <v>1</v>
      </c>
      <c r="B494" s="952" t="s">
        <v>1167</v>
      </c>
      <c r="C494" s="950" t="s">
        <v>1168</v>
      </c>
      <c r="D494" s="950">
        <v>1</v>
      </c>
      <c r="E494" s="950">
        <v>1</v>
      </c>
      <c r="F494" s="948">
        <v>8</v>
      </c>
      <c r="G494" s="948">
        <v>0.3</v>
      </c>
      <c r="H494" s="948">
        <v>0.7</v>
      </c>
      <c r="I494" s="948">
        <v>0.12</v>
      </c>
      <c r="J494" s="948">
        <f t="shared" ref="J494:J500" si="1257">H494-I494</f>
        <v>0.57999999999999996</v>
      </c>
      <c r="K494" s="948">
        <f>F494*G494*J494*D494*E494</f>
        <v>1.3919999999999999</v>
      </c>
      <c r="L494" s="948">
        <f t="shared" ref="L494" si="1258">(2*J494)*F494*E494*D494+(D494*E494*F494*G494)</f>
        <v>11.68</v>
      </c>
      <c r="M494" s="952"/>
      <c r="N494" s="950">
        <v>16</v>
      </c>
      <c r="O494" s="950">
        <v>16</v>
      </c>
      <c r="P494" s="950">
        <v>16</v>
      </c>
      <c r="Q494" s="950">
        <v>16</v>
      </c>
      <c r="R494" s="950">
        <v>16</v>
      </c>
      <c r="S494" s="950">
        <v>16</v>
      </c>
      <c r="T494" s="950">
        <v>8</v>
      </c>
      <c r="U494" s="950"/>
      <c r="V494" s="950"/>
      <c r="W494" s="950">
        <v>200</v>
      </c>
      <c r="X494" s="950">
        <v>100</v>
      </c>
      <c r="Y494" s="950">
        <v>100</v>
      </c>
      <c r="Z494" s="950">
        <v>4</v>
      </c>
      <c r="AA494" s="950">
        <v>4</v>
      </c>
      <c r="AB494" s="950">
        <v>2</v>
      </c>
      <c r="AC494" s="950">
        <v>2</v>
      </c>
      <c r="AD494" s="950">
        <v>4</v>
      </c>
      <c r="AE494" s="950">
        <v>4</v>
      </c>
      <c r="AF494" s="955">
        <f t="shared" ref="AF494:AF500" si="1259">(F494/4)/(W494/1000)+1</f>
        <v>11</v>
      </c>
      <c r="AG494" s="955">
        <f t="shared" ref="AG494:AG500" si="1260">(F494/2)/(X494/1000)+1</f>
        <v>41</v>
      </c>
      <c r="AH494" s="955">
        <f t="shared" ref="AH494:AH500" si="1261">(F494/4)/(Y494/1000)+1</f>
        <v>21</v>
      </c>
      <c r="AI494" s="955">
        <v>0</v>
      </c>
      <c r="AJ494" s="955">
        <v>0</v>
      </c>
      <c r="AK494" s="948">
        <f t="shared" ref="AK494:AK500" si="1262">(F494/4)+(20*N494/1000)+(10*N494/1000)+(8*N494/1000)+(6*2*N494/1000)</f>
        <v>2.8000000000000003</v>
      </c>
      <c r="AL494" s="948">
        <f t="shared" ref="AL494:AL500" si="1263">(F494/4)+(20*O494/1000)+(10*O494/1000)+(8*O494/1000)+(6*2*O494/1000)</f>
        <v>2.8000000000000003</v>
      </c>
      <c r="AM494" s="948">
        <f t="shared" ref="AM494:AM500" si="1264">(F494/2)+(20*P494/1000)+(6*2*P494/1000)</f>
        <v>4.5120000000000005</v>
      </c>
      <c r="AN494" s="948">
        <f t="shared" ref="AN494:AN500" si="1265">(F494/2)+(20*Q494/1000)+(6*2*Q494/1000)</f>
        <v>4.5120000000000005</v>
      </c>
      <c r="AO494" s="948">
        <f t="shared" ref="AO494:AO500" si="1266">(F494/4)+(20*R494/1000)+(10*R494/1000)+(8*R494/1000)+(6*2*R494/1000)</f>
        <v>2.8000000000000003</v>
      </c>
      <c r="AP494" s="948">
        <f t="shared" ref="AP494:AP500" si="1267">(F494/4)+(20*S494/1000)+(10*S494/1000)+(8*S494/1000)+(6*2*S494/1000)</f>
        <v>2.8000000000000003</v>
      </c>
      <c r="AQ494" s="948">
        <f t="shared" ref="AQ494:AQ500" si="1268">(2*G494)+(2*H494)+(6*T494/1000)-(8*0.03)</f>
        <v>1.8080000000000001</v>
      </c>
      <c r="AR494" s="948">
        <f t="shared" ref="AR494:AR500" si="1269">((H494)+(2*6*U494/1000)-(2*0.03))*AI494</f>
        <v>0</v>
      </c>
      <c r="AS494" s="948">
        <f t="shared" ref="AS494:AS500" si="1270">((G494)+(2*6*V494/1000)-(2*0.03))*AJ494</f>
        <v>0</v>
      </c>
      <c r="AT494" s="948">
        <f t="shared" ref="AT494:AT500" si="1271">AK494*Z494*E494*D494</f>
        <v>11.200000000000001</v>
      </c>
      <c r="AU494" s="948">
        <f t="shared" ref="AU494:AU500" si="1272">AL494*AA494*E494*D494</f>
        <v>11.200000000000001</v>
      </c>
      <c r="AV494" s="948">
        <f t="shared" ref="AV494:AV500" si="1273">AM494*AB494*E494*D494</f>
        <v>9.0240000000000009</v>
      </c>
      <c r="AW494" s="948">
        <f t="shared" ref="AW494:AW500" si="1274">AN494*AC494*E494*D494</f>
        <v>9.0240000000000009</v>
      </c>
      <c r="AX494" s="948">
        <f t="shared" ref="AX494:AX500" si="1275">AO494*AD494*E494*D494</f>
        <v>11.200000000000001</v>
      </c>
      <c r="AY494" s="948">
        <f t="shared" ref="AY494:AY500" si="1276">AP494*AE494*E494*D494</f>
        <v>11.200000000000001</v>
      </c>
      <c r="AZ494" s="948">
        <f t="shared" ref="AZ494:AZ500" si="1277">AQ494*(AF494+AG494+AH494)*E494*D494</f>
        <v>131.98400000000001</v>
      </c>
      <c r="BA494" s="948">
        <f t="shared" ref="BA494:BA500" si="1278">AR494*(AF494+AG494+AH494)*E494*D494</f>
        <v>0</v>
      </c>
      <c r="BB494" s="948">
        <f t="shared" ref="BB494:BB500" si="1279">AS494*(AF494+AG494+AH494)*E494*D494</f>
        <v>0</v>
      </c>
      <c r="BC494" s="957">
        <f t="shared" ref="BC494:BK500" si="1280">N494*N494*0.074/12</f>
        <v>1.5786666666666667</v>
      </c>
      <c r="BD494" s="957">
        <f t="shared" si="1280"/>
        <v>1.5786666666666667</v>
      </c>
      <c r="BE494" s="957">
        <f t="shared" si="1280"/>
        <v>1.5786666666666667</v>
      </c>
      <c r="BF494" s="957">
        <f t="shared" si="1280"/>
        <v>1.5786666666666667</v>
      </c>
      <c r="BG494" s="957">
        <f t="shared" si="1280"/>
        <v>1.5786666666666667</v>
      </c>
      <c r="BH494" s="957">
        <f t="shared" si="1280"/>
        <v>1.5786666666666667</v>
      </c>
      <c r="BI494" s="957">
        <f t="shared" si="1280"/>
        <v>0.39466666666666667</v>
      </c>
      <c r="BJ494" s="957">
        <f t="shared" si="1280"/>
        <v>0</v>
      </c>
      <c r="BK494" s="957">
        <f t="shared" si="1280"/>
        <v>0</v>
      </c>
      <c r="BL494" s="948">
        <f t="shared" ref="BL494:BR500" si="1281">AT494*BC494</f>
        <v>17.68106666666667</v>
      </c>
      <c r="BM494" s="948">
        <f t="shared" si="1281"/>
        <v>17.68106666666667</v>
      </c>
      <c r="BN494" s="948">
        <f t="shared" si="1281"/>
        <v>14.245888000000001</v>
      </c>
      <c r="BO494" s="948">
        <f t="shared" si="1281"/>
        <v>14.245888000000001</v>
      </c>
      <c r="BP494" s="948">
        <f t="shared" si="1281"/>
        <v>17.68106666666667</v>
      </c>
      <c r="BQ494" s="948">
        <f t="shared" si="1281"/>
        <v>17.68106666666667</v>
      </c>
      <c r="BR494" s="948">
        <f t="shared" si="1281"/>
        <v>52.089685333333335</v>
      </c>
      <c r="BS494" s="948">
        <f t="shared" ref="BS494:BS500" si="1282">BB494*BK494</f>
        <v>0</v>
      </c>
      <c r="BT494" s="955">
        <f t="shared" ref="BT494:BT500" si="1283">SUM(BL494:BS494)/K494</f>
        <v>108.69664367816094</v>
      </c>
    </row>
    <row r="495" spans="1:72">
      <c r="A495" s="952">
        <v>2</v>
      </c>
      <c r="B495" s="952" t="s">
        <v>1186</v>
      </c>
      <c r="C495" s="950" t="s">
        <v>1187</v>
      </c>
      <c r="D495" s="950">
        <v>1</v>
      </c>
      <c r="E495" s="950">
        <v>1</v>
      </c>
      <c r="F495" s="948">
        <v>14</v>
      </c>
      <c r="G495" s="948">
        <v>0.3</v>
      </c>
      <c r="H495" s="948">
        <v>0.65</v>
      </c>
      <c r="I495" s="948">
        <v>0.12</v>
      </c>
      <c r="J495" s="948">
        <f t="shared" si="1257"/>
        <v>0.53</v>
      </c>
      <c r="K495" s="948">
        <f t="shared" ref="K495:K500" si="1284">F495*G495*J495*D495*E495</f>
        <v>2.2260000000000004</v>
      </c>
      <c r="L495" s="948">
        <f t="shared" ref="L495:L500" si="1285">(2*J495)*F495*E495*D495</f>
        <v>14.84</v>
      </c>
      <c r="M495" s="952"/>
      <c r="N495" s="950">
        <v>16</v>
      </c>
      <c r="O495" s="950">
        <v>16</v>
      </c>
      <c r="P495" s="950">
        <v>16</v>
      </c>
      <c r="Q495" s="950">
        <v>16</v>
      </c>
      <c r="R495" s="950">
        <v>16</v>
      </c>
      <c r="S495" s="950">
        <v>16</v>
      </c>
      <c r="T495" s="950">
        <v>8</v>
      </c>
      <c r="U495" s="950"/>
      <c r="V495" s="950"/>
      <c r="W495" s="950">
        <v>200</v>
      </c>
      <c r="X495" s="950">
        <v>100</v>
      </c>
      <c r="Y495" s="950">
        <v>100</v>
      </c>
      <c r="Z495" s="950">
        <v>4</v>
      </c>
      <c r="AA495" s="950">
        <v>4</v>
      </c>
      <c r="AB495" s="950">
        <v>2</v>
      </c>
      <c r="AC495" s="950">
        <v>2</v>
      </c>
      <c r="AD495" s="950">
        <v>4</v>
      </c>
      <c r="AE495" s="950">
        <v>4</v>
      </c>
      <c r="AF495" s="955">
        <f t="shared" si="1259"/>
        <v>18.5</v>
      </c>
      <c r="AG495" s="955">
        <f t="shared" si="1260"/>
        <v>71</v>
      </c>
      <c r="AH495" s="955">
        <f t="shared" si="1261"/>
        <v>36</v>
      </c>
      <c r="AI495" s="955">
        <v>0</v>
      </c>
      <c r="AJ495" s="955">
        <v>0</v>
      </c>
      <c r="AK495" s="948">
        <f t="shared" si="1262"/>
        <v>4.3</v>
      </c>
      <c r="AL495" s="948">
        <f t="shared" si="1263"/>
        <v>4.3</v>
      </c>
      <c r="AM495" s="948">
        <f t="shared" si="1264"/>
        <v>7.5120000000000005</v>
      </c>
      <c r="AN495" s="948">
        <f t="shared" si="1265"/>
        <v>7.5120000000000005</v>
      </c>
      <c r="AO495" s="948">
        <f t="shared" si="1266"/>
        <v>4.3</v>
      </c>
      <c r="AP495" s="948">
        <f t="shared" si="1267"/>
        <v>4.3</v>
      </c>
      <c r="AQ495" s="948">
        <f t="shared" si="1268"/>
        <v>1.708</v>
      </c>
      <c r="AR495" s="948">
        <f t="shared" si="1269"/>
        <v>0</v>
      </c>
      <c r="AS495" s="948">
        <f t="shared" si="1270"/>
        <v>0</v>
      </c>
      <c r="AT495" s="948">
        <f t="shared" si="1271"/>
        <v>17.2</v>
      </c>
      <c r="AU495" s="948">
        <f t="shared" si="1272"/>
        <v>17.2</v>
      </c>
      <c r="AV495" s="948">
        <f t="shared" si="1273"/>
        <v>15.024000000000001</v>
      </c>
      <c r="AW495" s="948">
        <f t="shared" si="1274"/>
        <v>15.024000000000001</v>
      </c>
      <c r="AX495" s="948">
        <f t="shared" si="1275"/>
        <v>17.2</v>
      </c>
      <c r="AY495" s="948">
        <f t="shared" si="1276"/>
        <v>17.2</v>
      </c>
      <c r="AZ495" s="948">
        <f t="shared" si="1277"/>
        <v>214.35399999999998</v>
      </c>
      <c r="BA495" s="948">
        <f t="shared" si="1278"/>
        <v>0</v>
      </c>
      <c r="BB495" s="948">
        <f t="shared" si="1279"/>
        <v>0</v>
      </c>
      <c r="BC495" s="957">
        <f t="shared" si="1280"/>
        <v>1.5786666666666667</v>
      </c>
      <c r="BD495" s="957">
        <f t="shared" si="1280"/>
        <v>1.5786666666666667</v>
      </c>
      <c r="BE495" s="957">
        <f t="shared" si="1280"/>
        <v>1.5786666666666667</v>
      </c>
      <c r="BF495" s="957">
        <f t="shared" si="1280"/>
        <v>1.5786666666666667</v>
      </c>
      <c r="BG495" s="957">
        <f t="shared" si="1280"/>
        <v>1.5786666666666667</v>
      </c>
      <c r="BH495" s="957">
        <f t="shared" si="1280"/>
        <v>1.5786666666666667</v>
      </c>
      <c r="BI495" s="957">
        <f t="shared" si="1280"/>
        <v>0.39466666666666667</v>
      </c>
      <c r="BJ495" s="957">
        <f t="shared" si="1280"/>
        <v>0</v>
      </c>
      <c r="BK495" s="957">
        <f t="shared" si="1280"/>
        <v>0</v>
      </c>
      <c r="BL495" s="948">
        <f t="shared" si="1281"/>
        <v>27.153066666666664</v>
      </c>
      <c r="BM495" s="948">
        <f t="shared" si="1281"/>
        <v>27.153066666666664</v>
      </c>
      <c r="BN495" s="948">
        <f t="shared" si="1281"/>
        <v>23.717888000000002</v>
      </c>
      <c r="BO495" s="948">
        <f t="shared" si="1281"/>
        <v>23.717888000000002</v>
      </c>
      <c r="BP495" s="948">
        <f t="shared" si="1281"/>
        <v>27.153066666666664</v>
      </c>
      <c r="BQ495" s="948">
        <f t="shared" si="1281"/>
        <v>27.153066666666664</v>
      </c>
      <c r="BR495" s="948">
        <f t="shared" si="1281"/>
        <v>84.598378666666662</v>
      </c>
      <c r="BS495" s="948">
        <f t="shared" si="1282"/>
        <v>0</v>
      </c>
      <c r="BT495" s="955">
        <f t="shared" si="1283"/>
        <v>108.10710751722071</v>
      </c>
    </row>
    <row r="496" spans="1:72">
      <c r="A496" s="952">
        <v>2</v>
      </c>
      <c r="B496" s="952" t="s">
        <v>1188</v>
      </c>
      <c r="C496" s="950" t="s">
        <v>1189</v>
      </c>
      <c r="D496" s="950">
        <v>1</v>
      </c>
      <c r="E496" s="950">
        <v>1</v>
      </c>
      <c r="F496" s="948">
        <v>14</v>
      </c>
      <c r="G496" s="948">
        <v>0.3</v>
      </c>
      <c r="H496" s="948">
        <v>0.7</v>
      </c>
      <c r="I496" s="948">
        <v>0.12</v>
      </c>
      <c r="J496" s="948">
        <f t="shared" si="1257"/>
        <v>0.57999999999999996</v>
      </c>
      <c r="K496" s="948">
        <f t="shared" si="1284"/>
        <v>2.4359999999999999</v>
      </c>
      <c r="L496" s="948">
        <f t="shared" si="1285"/>
        <v>16.239999999999998</v>
      </c>
      <c r="M496" s="952"/>
      <c r="N496" s="950">
        <v>16</v>
      </c>
      <c r="O496" s="950">
        <v>16</v>
      </c>
      <c r="P496" s="950">
        <v>16</v>
      </c>
      <c r="Q496" s="950">
        <v>16</v>
      </c>
      <c r="R496" s="950">
        <v>16</v>
      </c>
      <c r="S496" s="950">
        <v>16</v>
      </c>
      <c r="T496" s="950">
        <v>8</v>
      </c>
      <c r="U496" s="950"/>
      <c r="V496" s="950"/>
      <c r="W496" s="950">
        <v>200</v>
      </c>
      <c r="X496" s="950">
        <v>100</v>
      </c>
      <c r="Y496" s="950">
        <v>100</v>
      </c>
      <c r="Z496" s="950">
        <v>4</v>
      </c>
      <c r="AA496" s="950">
        <v>4</v>
      </c>
      <c r="AB496" s="950">
        <v>2</v>
      </c>
      <c r="AC496" s="950">
        <v>2</v>
      </c>
      <c r="AD496" s="950">
        <v>4</v>
      </c>
      <c r="AE496" s="950">
        <v>4</v>
      </c>
      <c r="AF496" s="955">
        <f t="shared" si="1259"/>
        <v>18.5</v>
      </c>
      <c r="AG496" s="955">
        <f t="shared" si="1260"/>
        <v>71</v>
      </c>
      <c r="AH496" s="955">
        <f t="shared" si="1261"/>
        <v>36</v>
      </c>
      <c r="AI496" s="955">
        <v>0</v>
      </c>
      <c r="AJ496" s="955">
        <v>0</v>
      </c>
      <c r="AK496" s="948">
        <f t="shared" si="1262"/>
        <v>4.3</v>
      </c>
      <c r="AL496" s="948">
        <f t="shared" si="1263"/>
        <v>4.3</v>
      </c>
      <c r="AM496" s="948">
        <f t="shared" si="1264"/>
        <v>7.5120000000000005</v>
      </c>
      <c r="AN496" s="948">
        <f t="shared" si="1265"/>
        <v>7.5120000000000005</v>
      </c>
      <c r="AO496" s="948">
        <f t="shared" si="1266"/>
        <v>4.3</v>
      </c>
      <c r="AP496" s="948">
        <f t="shared" si="1267"/>
        <v>4.3</v>
      </c>
      <c r="AQ496" s="948">
        <f t="shared" si="1268"/>
        <v>1.8080000000000001</v>
      </c>
      <c r="AR496" s="948">
        <f t="shared" si="1269"/>
        <v>0</v>
      </c>
      <c r="AS496" s="948">
        <f t="shared" si="1270"/>
        <v>0</v>
      </c>
      <c r="AT496" s="948">
        <f t="shared" si="1271"/>
        <v>17.2</v>
      </c>
      <c r="AU496" s="948">
        <f t="shared" si="1272"/>
        <v>17.2</v>
      </c>
      <c r="AV496" s="948">
        <f t="shared" si="1273"/>
        <v>15.024000000000001</v>
      </c>
      <c r="AW496" s="948">
        <f t="shared" si="1274"/>
        <v>15.024000000000001</v>
      </c>
      <c r="AX496" s="948">
        <f t="shared" si="1275"/>
        <v>17.2</v>
      </c>
      <c r="AY496" s="948">
        <f t="shared" si="1276"/>
        <v>17.2</v>
      </c>
      <c r="AZ496" s="948">
        <f t="shared" si="1277"/>
        <v>226.904</v>
      </c>
      <c r="BA496" s="948">
        <f t="shared" si="1278"/>
        <v>0</v>
      </c>
      <c r="BB496" s="948">
        <f t="shared" si="1279"/>
        <v>0</v>
      </c>
      <c r="BC496" s="957">
        <f t="shared" si="1280"/>
        <v>1.5786666666666667</v>
      </c>
      <c r="BD496" s="957">
        <f t="shared" si="1280"/>
        <v>1.5786666666666667</v>
      </c>
      <c r="BE496" s="957">
        <f t="shared" si="1280"/>
        <v>1.5786666666666667</v>
      </c>
      <c r="BF496" s="957">
        <f t="shared" si="1280"/>
        <v>1.5786666666666667</v>
      </c>
      <c r="BG496" s="957">
        <f t="shared" si="1280"/>
        <v>1.5786666666666667</v>
      </c>
      <c r="BH496" s="957">
        <f t="shared" si="1280"/>
        <v>1.5786666666666667</v>
      </c>
      <c r="BI496" s="957">
        <f t="shared" si="1280"/>
        <v>0.39466666666666667</v>
      </c>
      <c r="BJ496" s="957">
        <f t="shared" si="1280"/>
        <v>0</v>
      </c>
      <c r="BK496" s="957">
        <f t="shared" si="1280"/>
        <v>0</v>
      </c>
      <c r="BL496" s="948">
        <f t="shared" si="1281"/>
        <v>27.153066666666664</v>
      </c>
      <c r="BM496" s="948">
        <f t="shared" si="1281"/>
        <v>27.153066666666664</v>
      </c>
      <c r="BN496" s="948">
        <f t="shared" si="1281"/>
        <v>23.717888000000002</v>
      </c>
      <c r="BO496" s="948">
        <f t="shared" si="1281"/>
        <v>23.717888000000002</v>
      </c>
      <c r="BP496" s="948">
        <f t="shared" si="1281"/>
        <v>27.153066666666664</v>
      </c>
      <c r="BQ496" s="948">
        <f t="shared" si="1281"/>
        <v>27.153066666666664</v>
      </c>
      <c r="BR496" s="948">
        <f t="shared" si="1281"/>
        <v>89.551445333333334</v>
      </c>
      <c r="BS496" s="948">
        <f t="shared" si="1282"/>
        <v>0</v>
      </c>
      <c r="BT496" s="955">
        <f t="shared" si="1283"/>
        <v>100.8208078817734</v>
      </c>
    </row>
    <row r="497" spans="1:72">
      <c r="A497" s="952">
        <v>3</v>
      </c>
      <c r="B497" s="952" t="s">
        <v>1170</v>
      </c>
      <c r="C497" s="950" t="s">
        <v>1190</v>
      </c>
      <c r="D497" s="950">
        <v>1</v>
      </c>
      <c r="E497" s="950">
        <v>1</v>
      </c>
      <c r="F497" s="948">
        <v>32</v>
      </c>
      <c r="G497" s="948">
        <v>0.3</v>
      </c>
      <c r="H497" s="948">
        <v>0.65</v>
      </c>
      <c r="I497" s="948">
        <v>0.12</v>
      </c>
      <c r="J497" s="948">
        <f t="shared" si="1257"/>
        <v>0.53</v>
      </c>
      <c r="K497" s="948">
        <f t="shared" si="1284"/>
        <v>5.0880000000000001</v>
      </c>
      <c r="L497" s="948">
        <f t="shared" si="1285"/>
        <v>33.92</v>
      </c>
      <c r="M497" s="952"/>
      <c r="N497" s="950">
        <v>16</v>
      </c>
      <c r="O497" s="950">
        <v>16</v>
      </c>
      <c r="P497" s="950">
        <v>16</v>
      </c>
      <c r="Q497" s="950">
        <v>16</v>
      </c>
      <c r="R497" s="950">
        <v>16</v>
      </c>
      <c r="S497" s="950">
        <v>16</v>
      </c>
      <c r="T497" s="950">
        <v>8</v>
      </c>
      <c r="U497" s="950"/>
      <c r="V497" s="950"/>
      <c r="W497" s="950">
        <v>200</v>
      </c>
      <c r="X497" s="950">
        <v>100</v>
      </c>
      <c r="Y497" s="950">
        <v>100</v>
      </c>
      <c r="Z497" s="950">
        <v>9</v>
      </c>
      <c r="AA497" s="950">
        <v>6</v>
      </c>
      <c r="AB497" s="950">
        <v>4</v>
      </c>
      <c r="AC497" s="950">
        <v>4</v>
      </c>
      <c r="AD497" s="950">
        <v>9</v>
      </c>
      <c r="AE497" s="950">
        <v>6</v>
      </c>
      <c r="AF497" s="955">
        <f t="shared" si="1259"/>
        <v>41</v>
      </c>
      <c r="AG497" s="955">
        <f t="shared" si="1260"/>
        <v>161</v>
      </c>
      <c r="AH497" s="955">
        <f t="shared" si="1261"/>
        <v>81</v>
      </c>
      <c r="AI497" s="955">
        <v>0</v>
      </c>
      <c r="AJ497" s="955">
        <v>0</v>
      </c>
      <c r="AK497" s="948">
        <f t="shared" si="1262"/>
        <v>8.8000000000000007</v>
      </c>
      <c r="AL497" s="948">
        <f t="shared" si="1263"/>
        <v>8.8000000000000007</v>
      </c>
      <c r="AM497" s="948">
        <f t="shared" si="1264"/>
        <v>16.512</v>
      </c>
      <c r="AN497" s="948">
        <f t="shared" si="1265"/>
        <v>16.512</v>
      </c>
      <c r="AO497" s="948">
        <f t="shared" si="1266"/>
        <v>8.8000000000000007</v>
      </c>
      <c r="AP497" s="948">
        <f t="shared" si="1267"/>
        <v>8.8000000000000007</v>
      </c>
      <c r="AQ497" s="948">
        <f t="shared" si="1268"/>
        <v>1.708</v>
      </c>
      <c r="AR497" s="948">
        <f t="shared" si="1269"/>
        <v>0</v>
      </c>
      <c r="AS497" s="948">
        <f t="shared" si="1270"/>
        <v>0</v>
      </c>
      <c r="AT497" s="948">
        <f t="shared" si="1271"/>
        <v>79.2</v>
      </c>
      <c r="AU497" s="948">
        <f t="shared" si="1272"/>
        <v>52.800000000000004</v>
      </c>
      <c r="AV497" s="948">
        <f t="shared" si="1273"/>
        <v>66.048000000000002</v>
      </c>
      <c r="AW497" s="948">
        <f t="shared" si="1274"/>
        <v>66.048000000000002</v>
      </c>
      <c r="AX497" s="948">
        <f t="shared" si="1275"/>
        <v>79.2</v>
      </c>
      <c r="AY497" s="948">
        <f t="shared" si="1276"/>
        <v>52.800000000000004</v>
      </c>
      <c r="AZ497" s="948">
        <f t="shared" si="1277"/>
        <v>483.36399999999998</v>
      </c>
      <c r="BA497" s="948">
        <f t="shared" si="1278"/>
        <v>0</v>
      </c>
      <c r="BB497" s="948">
        <f t="shared" si="1279"/>
        <v>0</v>
      </c>
      <c r="BC497" s="957">
        <f t="shared" si="1280"/>
        <v>1.5786666666666667</v>
      </c>
      <c r="BD497" s="957">
        <f t="shared" si="1280"/>
        <v>1.5786666666666667</v>
      </c>
      <c r="BE497" s="957">
        <f t="shared" si="1280"/>
        <v>1.5786666666666667</v>
      </c>
      <c r="BF497" s="957">
        <f t="shared" si="1280"/>
        <v>1.5786666666666667</v>
      </c>
      <c r="BG497" s="957">
        <f t="shared" si="1280"/>
        <v>1.5786666666666667</v>
      </c>
      <c r="BH497" s="957">
        <f t="shared" si="1280"/>
        <v>1.5786666666666667</v>
      </c>
      <c r="BI497" s="957">
        <f t="shared" si="1280"/>
        <v>0.39466666666666667</v>
      </c>
      <c r="BJ497" s="957">
        <f t="shared" si="1280"/>
        <v>0</v>
      </c>
      <c r="BK497" s="957">
        <f t="shared" si="1280"/>
        <v>0</v>
      </c>
      <c r="BL497" s="948">
        <f t="shared" si="1281"/>
        <v>125.0304</v>
      </c>
      <c r="BM497" s="948">
        <f t="shared" si="1281"/>
        <v>83.3536</v>
      </c>
      <c r="BN497" s="948">
        <f t="shared" si="1281"/>
        <v>104.267776</v>
      </c>
      <c r="BO497" s="948">
        <f t="shared" si="1281"/>
        <v>104.267776</v>
      </c>
      <c r="BP497" s="948">
        <f t="shared" si="1281"/>
        <v>125.0304</v>
      </c>
      <c r="BQ497" s="948">
        <f t="shared" si="1281"/>
        <v>83.3536</v>
      </c>
      <c r="BR497" s="948">
        <f t="shared" si="1281"/>
        <v>190.76765866666665</v>
      </c>
      <c r="BS497" s="948">
        <f t="shared" si="1282"/>
        <v>0</v>
      </c>
      <c r="BT497" s="955">
        <f t="shared" si="1283"/>
        <v>160.39135429769394</v>
      </c>
    </row>
    <row r="498" spans="1:72">
      <c r="A498" s="952">
        <v>4</v>
      </c>
      <c r="B498" s="952" t="s">
        <v>1183</v>
      </c>
      <c r="C498" s="950" t="s">
        <v>1191</v>
      </c>
      <c r="D498" s="950">
        <v>1</v>
      </c>
      <c r="E498" s="950">
        <v>1</v>
      </c>
      <c r="F498" s="948">
        <v>24</v>
      </c>
      <c r="G498" s="948">
        <v>0.3</v>
      </c>
      <c r="H498" s="948">
        <v>0.65</v>
      </c>
      <c r="I498" s="948">
        <v>0.12</v>
      </c>
      <c r="J498" s="948">
        <f t="shared" si="1257"/>
        <v>0.53</v>
      </c>
      <c r="K498" s="948">
        <f t="shared" si="1284"/>
        <v>3.8159999999999998</v>
      </c>
      <c r="L498" s="948">
        <f t="shared" si="1285"/>
        <v>25.44</v>
      </c>
      <c r="M498" s="952"/>
      <c r="N498" s="950">
        <v>25</v>
      </c>
      <c r="O498" s="950">
        <v>25</v>
      </c>
      <c r="P498" s="950">
        <v>25</v>
      </c>
      <c r="Q498" s="950">
        <v>25</v>
      </c>
      <c r="R498" s="950">
        <v>25</v>
      </c>
      <c r="S498" s="950">
        <v>25</v>
      </c>
      <c r="T498" s="950">
        <v>8</v>
      </c>
      <c r="U498" s="950"/>
      <c r="V498" s="950"/>
      <c r="W498" s="950">
        <v>200</v>
      </c>
      <c r="X498" s="950">
        <v>100</v>
      </c>
      <c r="Y498" s="950">
        <v>100</v>
      </c>
      <c r="Z498" s="950">
        <v>9</v>
      </c>
      <c r="AA498" s="950">
        <v>6</v>
      </c>
      <c r="AB498" s="950">
        <v>4</v>
      </c>
      <c r="AC498" s="950">
        <v>4</v>
      </c>
      <c r="AD498" s="950">
        <v>9</v>
      </c>
      <c r="AE498" s="950">
        <v>6</v>
      </c>
      <c r="AF498" s="955">
        <f t="shared" si="1259"/>
        <v>31</v>
      </c>
      <c r="AG498" s="955">
        <f t="shared" si="1260"/>
        <v>121</v>
      </c>
      <c r="AH498" s="955">
        <f t="shared" si="1261"/>
        <v>61</v>
      </c>
      <c r="AI498" s="955">
        <v>0</v>
      </c>
      <c r="AJ498" s="955">
        <v>0</v>
      </c>
      <c r="AK498" s="948">
        <f t="shared" si="1262"/>
        <v>7.25</v>
      </c>
      <c r="AL498" s="948">
        <f t="shared" si="1263"/>
        <v>7.25</v>
      </c>
      <c r="AM498" s="948">
        <f t="shared" si="1264"/>
        <v>12.8</v>
      </c>
      <c r="AN498" s="948">
        <f t="shared" si="1265"/>
        <v>12.8</v>
      </c>
      <c r="AO498" s="948">
        <f t="shared" si="1266"/>
        <v>7.25</v>
      </c>
      <c r="AP498" s="948">
        <f t="shared" si="1267"/>
        <v>7.25</v>
      </c>
      <c r="AQ498" s="948">
        <f t="shared" si="1268"/>
        <v>1.708</v>
      </c>
      <c r="AR498" s="948">
        <f t="shared" si="1269"/>
        <v>0</v>
      </c>
      <c r="AS498" s="948">
        <f t="shared" si="1270"/>
        <v>0</v>
      </c>
      <c r="AT498" s="948">
        <f t="shared" si="1271"/>
        <v>65.25</v>
      </c>
      <c r="AU498" s="948">
        <f t="shared" si="1272"/>
        <v>43.5</v>
      </c>
      <c r="AV498" s="948">
        <f t="shared" si="1273"/>
        <v>51.2</v>
      </c>
      <c r="AW498" s="948">
        <f t="shared" si="1274"/>
        <v>51.2</v>
      </c>
      <c r="AX498" s="948">
        <f t="shared" si="1275"/>
        <v>65.25</v>
      </c>
      <c r="AY498" s="948">
        <f t="shared" si="1276"/>
        <v>43.5</v>
      </c>
      <c r="AZ498" s="948">
        <f t="shared" si="1277"/>
        <v>363.80399999999997</v>
      </c>
      <c r="BA498" s="948">
        <f t="shared" si="1278"/>
        <v>0</v>
      </c>
      <c r="BB498" s="948">
        <f t="shared" si="1279"/>
        <v>0</v>
      </c>
      <c r="BC498" s="957">
        <f t="shared" si="1280"/>
        <v>3.8541666666666665</v>
      </c>
      <c r="BD498" s="957">
        <f t="shared" si="1280"/>
        <v>3.8541666666666665</v>
      </c>
      <c r="BE498" s="957">
        <f t="shared" si="1280"/>
        <v>3.8541666666666665</v>
      </c>
      <c r="BF498" s="957">
        <f t="shared" si="1280"/>
        <v>3.8541666666666665</v>
      </c>
      <c r="BG498" s="957">
        <f t="shared" si="1280"/>
        <v>3.8541666666666665</v>
      </c>
      <c r="BH498" s="957">
        <f t="shared" si="1280"/>
        <v>3.8541666666666665</v>
      </c>
      <c r="BI498" s="957">
        <f t="shared" si="1280"/>
        <v>0.39466666666666667</v>
      </c>
      <c r="BJ498" s="957">
        <f t="shared" si="1280"/>
        <v>0</v>
      </c>
      <c r="BK498" s="957">
        <f t="shared" si="1280"/>
        <v>0</v>
      </c>
      <c r="BL498" s="948">
        <f t="shared" si="1281"/>
        <v>251.484375</v>
      </c>
      <c r="BM498" s="948">
        <f t="shared" si="1281"/>
        <v>167.65625</v>
      </c>
      <c r="BN498" s="948">
        <f t="shared" si="1281"/>
        <v>197.33333333333334</v>
      </c>
      <c r="BO498" s="948">
        <f t="shared" si="1281"/>
        <v>197.33333333333334</v>
      </c>
      <c r="BP498" s="948">
        <f t="shared" si="1281"/>
        <v>251.484375</v>
      </c>
      <c r="BQ498" s="948">
        <f t="shared" si="1281"/>
        <v>167.65625</v>
      </c>
      <c r="BR498" s="948">
        <f t="shared" si="1281"/>
        <v>143.581312</v>
      </c>
      <c r="BS498" s="948">
        <f t="shared" si="1282"/>
        <v>0</v>
      </c>
      <c r="BT498" s="955">
        <f t="shared" si="1283"/>
        <v>360.72568885394833</v>
      </c>
    </row>
    <row r="499" spans="1:72">
      <c r="A499" s="952">
        <v>5</v>
      </c>
      <c r="B499" s="952" t="s">
        <v>1173</v>
      </c>
      <c r="C499" s="950" t="s">
        <v>1174</v>
      </c>
      <c r="D499" s="950">
        <v>1</v>
      </c>
      <c r="E499" s="950">
        <v>1</v>
      </c>
      <c r="F499" s="948">
        <v>5.4</v>
      </c>
      <c r="G499" s="948">
        <v>0.3</v>
      </c>
      <c r="H499" s="948">
        <v>0.65</v>
      </c>
      <c r="I499" s="948">
        <v>0.12</v>
      </c>
      <c r="J499" s="948">
        <f t="shared" si="1257"/>
        <v>0.53</v>
      </c>
      <c r="K499" s="948">
        <f t="shared" si="1284"/>
        <v>0.85860000000000014</v>
      </c>
      <c r="L499" s="948">
        <f t="shared" si="1285"/>
        <v>5.7240000000000011</v>
      </c>
      <c r="M499" s="952"/>
      <c r="N499" s="950">
        <v>16</v>
      </c>
      <c r="O499" s="950">
        <v>16</v>
      </c>
      <c r="P499" s="950">
        <v>16</v>
      </c>
      <c r="Q499" s="950">
        <v>16</v>
      </c>
      <c r="R499" s="950">
        <v>16</v>
      </c>
      <c r="S499" s="950">
        <v>16</v>
      </c>
      <c r="T499" s="950">
        <v>8</v>
      </c>
      <c r="U499" s="950"/>
      <c r="V499" s="950"/>
      <c r="W499" s="950">
        <v>200</v>
      </c>
      <c r="X499" s="950">
        <v>100</v>
      </c>
      <c r="Y499" s="950">
        <v>100</v>
      </c>
      <c r="Z499" s="950">
        <v>9</v>
      </c>
      <c r="AA499" s="950">
        <v>6</v>
      </c>
      <c r="AB499" s="950">
        <v>4</v>
      </c>
      <c r="AC499" s="950">
        <v>4</v>
      </c>
      <c r="AD499" s="950">
        <v>9</v>
      </c>
      <c r="AE499" s="950">
        <v>6</v>
      </c>
      <c r="AF499" s="955">
        <f t="shared" si="1259"/>
        <v>7.75</v>
      </c>
      <c r="AG499" s="955">
        <f t="shared" si="1260"/>
        <v>28</v>
      </c>
      <c r="AH499" s="955">
        <f t="shared" si="1261"/>
        <v>14.5</v>
      </c>
      <c r="AI499" s="955">
        <v>0</v>
      </c>
      <c r="AJ499" s="955">
        <v>0</v>
      </c>
      <c r="AK499" s="948">
        <f t="shared" si="1262"/>
        <v>2.1500000000000004</v>
      </c>
      <c r="AL499" s="948">
        <f t="shared" si="1263"/>
        <v>2.1500000000000004</v>
      </c>
      <c r="AM499" s="948">
        <f t="shared" si="1264"/>
        <v>3.2120000000000002</v>
      </c>
      <c r="AN499" s="948">
        <f t="shared" si="1265"/>
        <v>3.2120000000000002</v>
      </c>
      <c r="AO499" s="948">
        <f t="shared" si="1266"/>
        <v>2.1500000000000004</v>
      </c>
      <c r="AP499" s="948">
        <f t="shared" si="1267"/>
        <v>2.1500000000000004</v>
      </c>
      <c r="AQ499" s="948">
        <f t="shared" si="1268"/>
        <v>1.708</v>
      </c>
      <c r="AR499" s="948">
        <f t="shared" si="1269"/>
        <v>0</v>
      </c>
      <c r="AS499" s="948">
        <f t="shared" si="1270"/>
        <v>0</v>
      </c>
      <c r="AT499" s="948">
        <f t="shared" si="1271"/>
        <v>19.350000000000001</v>
      </c>
      <c r="AU499" s="948">
        <f t="shared" si="1272"/>
        <v>12.900000000000002</v>
      </c>
      <c r="AV499" s="948">
        <f t="shared" si="1273"/>
        <v>12.848000000000001</v>
      </c>
      <c r="AW499" s="948">
        <f t="shared" si="1274"/>
        <v>12.848000000000001</v>
      </c>
      <c r="AX499" s="948">
        <f t="shared" si="1275"/>
        <v>19.350000000000001</v>
      </c>
      <c r="AY499" s="948">
        <f t="shared" si="1276"/>
        <v>12.900000000000002</v>
      </c>
      <c r="AZ499" s="948">
        <f t="shared" si="1277"/>
        <v>85.826999999999998</v>
      </c>
      <c r="BA499" s="948">
        <f t="shared" si="1278"/>
        <v>0</v>
      </c>
      <c r="BB499" s="948">
        <f t="shared" si="1279"/>
        <v>0</v>
      </c>
      <c r="BC499" s="957">
        <f t="shared" si="1280"/>
        <v>1.5786666666666667</v>
      </c>
      <c r="BD499" s="957">
        <f t="shared" si="1280"/>
        <v>1.5786666666666667</v>
      </c>
      <c r="BE499" s="957">
        <f t="shared" si="1280"/>
        <v>1.5786666666666667</v>
      </c>
      <c r="BF499" s="957">
        <f t="shared" si="1280"/>
        <v>1.5786666666666667</v>
      </c>
      <c r="BG499" s="957">
        <f t="shared" si="1280"/>
        <v>1.5786666666666667</v>
      </c>
      <c r="BH499" s="957">
        <f t="shared" si="1280"/>
        <v>1.5786666666666667</v>
      </c>
      <c r="BI499" s="957">
        <f t="shared" si="1280"/>
        <v>0.39466666666666667</v>
      </c>
      <c r="BJ499" s="957">
        <f t="shared" si="1280"/>
        <v>0</v>
      </c>
      <c r="BK499" s="957">
        <f t="shared" si="1280"/>
        <v>0</v>
      </c>
      <c r="BL499" s="948">
        <f t="shared" si="1281"/>
        <v>30.547200000000004</v>
      </c>
      <c r="BM499" s="948">
        <f t="shared" si="1281"/>
        <v>20.364800000000002</v>
      </c>
      <c r="BN499" s="948">
        <f t="shared" si="1281"/>
        <v>20.282709333333333</v>
      </c>
      <c r="BO499" s="948">
        <f t="shared" si="1281"/>
        <v>20.282709333333333</v>
      </c>
      <c r="BP499" s="948">
        <f t="shared" si="1281"/>
        <v>30.547200000000004</v>
      </c>
      <c r="BQ499" s="948">
        <f t="shared" si="1281"/>
        <v>20.364800000000002</v>
      </c>
      <c r="BR499" s="948">
        <f t="shared" si="1281"/>
        <v>33.873055999999998</v>
      </c>
      <c r="BS499" s="948">
        <f t="shared" si="1282"/>
        <v>0</v>
      </c>
      <c r="BT499" s="955">
        <f t="shared" si="1283"/>
        <v>205.29055982607341</v>
      </c>
    </row>
    <row r="500" spans="1:72">
      <c r="A500" s="952">
        <v>6</v>
      </c>
      <c r="B500" s="952" t="s">
        <v>1192</v>
      </c>
      <c r="C500" s="950" t="s">
        <v>1193</v>
      </c>
      <c r="D500" s="950">
        <v>1</v>
      </c>
      <c r="E500" s="950">
        <v>1</v>
      </c>
      <c r="F500" s="948">
        <v>14</v>
      </c>
      <c r="G500" s="948">
        <v>0.3</v>
      </c>
      <c r="H500" s="948">
        <v>0.7</v>
      </c>
      <c r="I500" s="948">
        <v>0.12</v>
      </c>
      <c r="J500" s="948">
        <f t="shared" si="1257"/>
        <v>0.57999999999999996</v>
      </c>
      <c r="K500" s="948">
        <f t="shared" si="1284"/>
        <v>2.4359999999999999</v>
      </c>
      <c r="L500" s="948">
        <f t="shared" si="1285"/>
        <v>16.239999999999998</v>
      </c>
      <c r="M500" s="952"/>
      <c r="N500" s="950">
        <v>25</v>
      </c>
      <c r="O500" s="950">
        <v>25</v>
      </c>
      <c r="P500" s="950">
        <v>25</v>
      </c>
      <c r="Q500" s="950">
        <v>25</v>
      </c>
      <c r="R500" s="950">
        <v>25</v>
      </c>
      <c r="S500" s="950">
        <v>25</v>
      </c>
      <c r="T500" s="950">
        <v>8</v>
      </c>
      <c r="U500" s="950"/>
      <c r="V500" s="950"/>
      <c r="W500" s="950">
        <v>200</v>
      </c>
      <c r="X500" s="950">
        <v>100</v>
      </c>
      <c r="Y500" s="950">
        <v>100</v>
      </c>
      <c r="Z500" s="950">
        <v>9</v>
      </c>
      <c r="AA500" s="950">
        <v>6</v>
      </c>
      <c r="AB500" s="950">
        <v>4</v>
      </c>
      <c r="AC500" s="950">
        <v>4</v>
      </c>
      <c r="AD500" s="950">
        <v>9</v>
      </c>
      <c r="AE500" s="950">
        <v>6</v>
      </c>
      <c r="AF500" s="955">
        <f t="shared" si="1259"/>
        <v>18.5</v>
      </c>
      <c r="AG500" s="955">
        <f t="shared" si="1260"/>
        <v>71</v>
      </c>
      <c r="AH500" s="955">
        <f t="shared" si="1261"/>
        <v>36</v>
      </c>
      <c r="AI500" s="955">
        <v>0</v>
      </c>
      <c r="AJ500" s="955">
        <v>0</v>
      </c>
      <c r="AK500" s="948">
        <f t="shared" si="1262"/>
        <v>4.75</v>
      </c>
      <c r="AL500" s="948">
        <f t="shared" si="1263"/>
        <v>4.75</v>
      </c>
      <c r="AM500" s="948">
        <f t="shared" si="1264"/>
        <v>7.8</v>
      </c>
      <c r="AN500" s="948">
        <f t="shared" si="1265"/>
        <v>7.8</v>
      </c>
      <c r="AO500" s="948">
        <f t="shared" si="1266"/>
        <v>4.75</v>
      </c>
      <c r="AP500" s="948">
        <f t="shared" si="1267"/>
        <v>4.75</v>
      </c>
      <c r="AQ500" s="948">
        <f t="shared" si="1268"/>
        <v>1.8080000000000001</v>
      </c>
      <c r="AR500" s="948">
        <f t="shared" si="1269"/>
        <v>0</v>
      </c>
      <c r="AS500" s="948">
        <f t="shared" si="1270"/>
        <v>0</v>
      </c>
      <c r="AT500" s="948">
        <f t="shared" si="1271"/>
        <v>42.75</v>
      </c>
      <c r="AU500" s="948">
        <f t="shared" si="1272"/>
        <v>28.5</v>
      </c>
      <c r="AV500" s="948">
        <f t="shared" si="1273"/>
        <v>31.2</v>
      </c>
      <c r="AW500" s="948">
        <f t="shared" si="1274"/>
        <v>31.2</v>
      </c>
      <c r="AX500" s="948">
        <f t="shared" si="1275"/>
        <v>42.75</v>
      </c>
      <c r="AY500" s="948">
        <f t="shared" si="1276"/>
        <v>28.5</v>
      </c>
      <c r="AZ500" s="948">
        <f t="shared" si="1277"/>
        <v>226.904</v>
      </c>
      <c r="BA500" s="948">
        <f t="shared" si="1278"/>
        <v>0</v>
      </c>
      <c r="BB500" s="948">
        <f t="shared" si="1279"/>
        <v>0</v>
      </c>
      <c r="BC500" s="957">
        <f t="shared" si="1280"/>
        <v>3.8541666666666665</v>
      </c>
      <c r="BD500" s="957">
        <f t="shared" si="1280"/>
        <v>3.8541666666666665</v>
      </c>
      <c r="BE500" s="957">
        <f t="shared" si="1280"/>
        <v>3.8541666666666665</v>
      </c>
      <c r="BF500" s="957">
        <f t="shared" si="1280"/>
        <v>3.8541666666666665</v>
      </c>
      <c r="BG500" s="957">
        <f t="shared" si="1280"/>
        <v>3.8541666666666665</v>
      </c>
      <c r="BH500" s="957">
        <f t="shared" si="1280"/>
        <v>3.8541666666666665</v>
      </c>
      <c r="BI500" s="957">
        <f t="shared" si="1280"/>
        <v>0.39466666666666667</v>
      </c>
      <c r="BJ500" s="957">
        <f t="shared" si="1280"/>
        <v>0</v>
      </c>
      <c r="BK500" s="957">
        <f t="shared" si="1280"/>
        <v>0</v>
      </c>
      <c r="BL500" s="948">
        <f t="shared" si="1281"/>
        <v>164.765625</v>
      </c>
      <c r="BM500" s="948">
        <f t="shared" si="1281"/>
        <v>109.84375</v>
      </c>
      <c r="BN500" s="948">
        <f t="shared" si="1281"/>
        <v>120.24999999999999</v>
      </c>
      <c r="BO500" s="948">
        <f t="shared" si="1281"/>
        <v>120.24999999999999</v>
      </c>
      <c r="BP500" s="948">
        <f t="shared" si="1281"/>
        <v>164.765625</v>
      </c>
      <c r="BQ500" s="948">
        <f t="shared" si="1281"/>
        <v>109.84375</v>
      </c>
      <c r="BR500" s="948">
        <f t="shared" si="1281"/>
        <v>89.551445333333334</v>
      </c>
      <c r="BS500" s="948">
        <f t="shared" si="1282"/>
        <v>0</v>
      </c>
      <c r="BT500" s="955">
        <f t="shared" si="1283"/>
        <v>360.94835604816637</v>
      </c>
    </row>
    <row r="501" spans="1:72">
      <c r="A501" s="952">
        <v>7</v>
      </c>
      <c r="B501" s="952" t="s">
        <v>1177</v>
      </c>
      <c r="C501" s="950" t="s">
        <v>1099</v>
      </c>
      <c r="D501" s="950">
        <v>1</v>
      </c>
      <c r="E501" s="950">
        <v>1</v>
      </c>
      <c r="F501" s="948">
        <v>4.75</v>
      </c>
      <c r="G501" s="948">
        <v>0.25</v>
      </c>
      <c r="H501" s="948">
        <v>0.6</v>
      </c>
      <c r="I501" s="948">
        <v>0.12</v>
      </c>
      <c r="J501" s="948">
        <v>0.48</v>
      </c>
      <c r="K501" s="948">
        <v>0.64800000000000002</v>
      </c>
      <c r="L501" s="948">
        <v>5.1840000000000002</v>
      </c>
      <c r="M501" s="952"/>
      <c r="N501" s="950">
        <v>16</v>
      </c>
      <c r="O501" s="950">
        <v>16</v>
      </c>
      <c r="P501" s="950">
        <v>16</v>
      </c>
      <c r="Q501" s="950">
        <v>16</v>
      </c>
      <c r="R501" s="950">
        <v>16</v>
      </c>
      <c r="S501" s="950">
        <v>16</v>
      </c>
      <c r="T501" s="950">
        <v>8</v>
      </c>
      <c r="U501" s="950"/>
      <c r="V501" s="950"/>
      <c r="W501" s="950">
        <v>200</v>
      </c>
      <c r="X501" s="950">
        <v>100</v>
      </c>
      <c r="Y501" s="950">
        <v>100</v>
      </c>
      <c r="Z501" s="950">
        <v>9</v>
      </c>
      <c r="AA501" s="950">
        <v>6</v>
      </c>
      <c r="AB501" s="950">
        <v>4</v>
      </c>
      <c r="AC501" s="950">
        <v>4</v>
      </c>
      <c r="AD501" s="950">
        <v>9</v>
      </c>
      <c r="AE501" s="950">
        <v>6</v>
      </c>
      <c r="AF501" s="955">
        <v>7.75</v>
      </c>
      <c r="AG501" s="955">
        <v>28</v>
      </c>
      <c r="AH501" s="955">
        <v>14.5</v>
      </c>
      <c r="AI501" s="955">
        <v>0</v>
      </c>
      <c r="AJ501" s="955">
        <v>0</v>
      </c>
      <c r="AK501" s="948">
        <v>2.1500000000000004</v>
      </c>
      <c r="AL501" s="948">
        <v>2.1500000000000004</v>
      </c>
      <c r="AM501" s="948">
        <v>3.2120000000000002</v>
      </c>
      <c r="AN501" s="948">
        <v>3.2120000000000002</v>
      </c>
      <c r="AO501" s="948">
        <v>2.1500000000000004</v>
      </c>
      <c r="AP501" s="948">
        <v>2.1500000000000004</v>
      </c>
      <c r="AQ501" s="948">
        <v>1.508</v>
      </c>
      <c r="AR501" s="948">
        <v>0</v>
      </c>
      <c r="AS501" s="948">
        <v>0</v>
      </c>
      <c r="AT501" s="948">
        <v>19.350000000000001</v>
      </c>
      <c r="AU501" s="948">
        <v>12.900000000000002</v>
      </c>
      <c r="AV501" s="948">
        <v>12.848000000000001</v>
      </c>
      <c r="AW501" s="948">
        <v>12.848000000000001</v>
      </c>
      <c r="AX501" s="948">
        <v>19.350000000000001</v>
      </c>
      <c r="AY501" s="948">
        <v>12.900000000000002</v>
      </c>
      <c r="AZ501" s="948">
        <v>75.777000000000001</v>
      </c>
      <c r="BA501" s="948">
        <v>0</v>
      </c>
      <c r="BB501" s="948">
        <v>0</v>
      </c>
      <c r="BC501" s="957">
        <v>1.5786666666666667</v>
      </c>
      <c r="BD501" s="957">
        <v>1.5786666666666667</v>
      </c>
      <c r="BE501" s="957">
        <v>1.5786666666666667</v>
      </c>
      <c r="BF501" s="957">
        <v>1.5786666666666667</v>
      </c>
      <c r="BG501" s="957">
        <v>1.5786666666666667</v>
      </c>
      <c r="BH501" s="957">
        <v>1.5786666666666667</v>
      </c>
      <c r="BI501" s="957">
        <v>0.39466666666666667</v>
      </c>
      <c r="BJ501" s="957">
        <v>0</v>
      </c>
      <c r="BK501" s="957">
        <v>0</v>
      </c>
      <c r="BL501" s="948">
        <v>30.547200000000004</v>
      </c>
      <c r="BM501" s="948">
        <v>20.364800000000002</v>
      </c>
      <c r="BN501" s="948">
        <v>20.282709333333333</v>
      </c>
      <c r="BO501" s="948">
        <v>20.282709333333333</v>
      </c>
      <c r="BP501" s="948">
        <v>30.547200000000004</v>
      </c>
      <c r="BQ501" s="948">
        <v>20.364800000000002</v>
      </c>
      <c r="BR501" s="948">
        <v>29.906656000000002</v>
      </c>
      <c r="BS501" s="948">
        <v>0</v>
      </c>
      <c r="BT501" s="955">
        <v>265.88900411522633</v>
      </c>
    </row>
    <row r="502" spans="1:72">
      <c r="A502" s="952">
        <v>8</v>
      </c>
      <c r="B502" s="952" t="s">
        <v>1179</v>
      </c>
      <c r="C502" s="950" t="s">
        <v>1125</v>
      </c>
      <c r="D502" s="950">
        <v>1</v>
      </c>
      <c r="E502" s="950">
        <v>1</v>
      </c>
      <c r="F502" s="948">
        <v>8</v>
      </c>
      <c r="G502" s="948">
        <v>0.3</v>
      </c>
      <c r="H502" s="948">
        <v>0.65</v>
      </c>
      <c r="I502" s="948">
        <v>0.12</v>
      </c>
      <c r="J502" s="948">
        <f t="shared" ref="J502:J505" si="1286">H502-I502</f>
        <v>0.53</v>
      </c>
      <c r="K502" s="948">
        <f t="shared" ref="K502:K505" si="1287">F502*G502*J502*D502*E502</f>
        <v>1.272</v>
      </c>
      <c r="L502" s="948">
        <f t="shared" ref="L502:L505" si="1288">(2*J502)*F502*E502*D502</f>
        <v>8.48</v>
      </c>
      <c r="M502" s="952"/>
      <c r="N502" s="950">
        <v>16</v>
      </c>
      <c r="O502" s="950">
        <v>16</v>
      </c>
      <c r="P502" s="950">
        <v>16</v>
      </c>
      <c r="Q502" s="950">
        <v>16</v>
      </c>
      <c r="R502" s="950">
        <v>16</v>
      </c>
      <c r="S502" s="950">
        <v>16</v>
      </c>
      <c r="T502" s="950">
        <v>8</v>
      </c>
      <c r="U502" s="950"/>
      <c r="V502" s="950"/>
      <c r="W502" s="950">
        <v>200</v>
      </c>
      <c r="X502" s="950">
        <v>100</v>
      </c>
      <c r="Y502" s="950">
        <v>100</v>
      </c>
      <c r="Z502" s="950">
        <v>9</v>
      </c>
      <c r="AA502" s="950">
        <v>6</v>
      </c>
      <c r="AB502" s="950">
        <v>4</v>
      </c>
      <c r="AC502" s="950">
        <v>4</v>
      </c>
      <c r="AD502" s="950">
        <v>9</v>
      </c>
      <c r="AE502" s="950">
        <v>6</v>
      </c>
      <c r="AF502" s="955">
        <f t="shared" ref="AF502:AF505" si="1289">(F502/4)/(W502/1000)+1</f>
        <v>11</v>
      </c>
      <c r="AG502" s="955">
        <f t="shared" ref="AG502:AG505" si="1290">(F502/2)/(X502/1000)+1</f>
        <v>41</v>
      </c>
      <c r="AH502" s="955">
        <f t="shared" ref="AH502:AH505" si="1291">(F502/4)/(Y502/1000)+1</f>
        <v>21</v>
      </c>
      <c r="AI502" s="955">
        <v>0</v>
      </c>
      <c r="AJ502" s="955">
        <v>0</v>
      </c>
      <c r="AK502" s="948">
        <f t="shared" ref="AK502:AK505" si="1292">(F502/4)+(20*N502/1000)+(10*N502/1000)+(8*N502/1000)+(6*2*N502/1000)</f>
        <v>2.8000000000000003</v>
      </c>
      <c r="AL502" s="948">
        <f t="shared" ref="AL502:AL505" si="1293">(F502/4)+(20*O502/1000)+(10*O502/1000)+(8*O502/1000)+(6*2*O502/1000)</f>
        <v>2.8000000000000003</v>
      </c>
      <c r="AM502" s="948">
        <f t="shared" ref="AM502:AM505" si="1294">(F502/2)+(20*P502/1000)+(6*2*P502/1000)</f>
        <v>4.5120000000000005</v>
      </c>
      <c r="AN502" s="948">
        <f t="shared" ref="AN502:AN505" si="1295">(F502/2)+(20*Q502/1000)+(6*2*Q502/1000)</f>
        <v>4.5120000000000005</v>
      </c>
      <c r="AO502" s="948">
        <f t="shared" ref="AO502:AO505" si="1296">(F502/4)+(20*R502/1000)+(10*R502/1000)+(8*R502/1000)+(6*2*R502/1000)</f>
        <v>2.8000000000000003</v>
      </c>
      <c r="AP502" s="948">
        <f t="shared" ref="AP502:AP505" si="1297">(F502/4)+(20*S502/1000)+(10*S502/1000)+(8*S502/1000)+(6*2*S502/1000)</f>
        <v>2.8000000000000003</v>
      </c>
      <c r="AQ502" s="948">
        <f t="shared" ref="AQ502:AQ505" si="1298">(2*G502)+(2*H502)+(6*T502/1000)-(8*0.03)</f>
        <v>1.708</v>
      </c>
      <c r="AR502" s="948">
        <f t="shared" ref="AR502:AR505" si="1299">((H502)+(2*6*U502/1000)-(2*0.03))*AI502</f>
        <v>0</v>
      </c>
      <c r="AS502" s="948">
        <f t="shared" ref="AS502:AS505" si="1300">((G502)+(2*6*V502/1000)-(2*0.03))*AJ502</f>
        <v>0</v>
      </c>
      <c r="AT502" s="948">
        <f t="shared" ref="AT502:AT505" si="1301">AK502*Z502*E502*D502</f>
        <v>25.200000000000003</v>
      </c>
      <c r="AU502" s="948">
        <f t="shared" ref="AU502:AU505" si="1302">AL502*AA502*E502*D502</f>
        <v>16.8</v>
      </c>
      <c r="AV502" s="948">
        <f t="shared" ref="AV502:AV505" si="1303">AM502*AB502*E502*D502</f>
        <v>18.048000000000002</v>
      </c>
      <c r="AW502" s="948">
        <f t="shared" ref="AW502:AW505" si="1304">AN502*AC502*E502*D502</f>
        <v>18.048000000000002</v>
      </c>
      <c r="AX502" s="948">
        <f t="shared" ref="AX502:AX505" si="1305">AO502*AD502*E502*D502</f>
        <v>25.200000000000003</v>
      </c>
      <c r="AY502" s="948">
        <f t="shared" ref="AY502:AY505" si="1306">AP502*AE502*E502*D502</f>
        <v>16.8</v>
      </c>
      <c r="AZ502" s="948">
        <f t="shared" ref="AZ502:AZ505" si="1307">AQ502*(AF502+AG502+AH502)*E502*D502</f>
        <v>124.684</v>
      </c>
      <c r="BA502" s="948">
        <f t="shared" ref="BA502:BA505" si="1308">AR502*(AF502+AG502+AH502)*E502*D502</f>
        <v>0</v>
      </c>
      <c r="BB502" s="948">
        <f t="shared" ref="BB502:BB505" si="1309">AS502*(AF502+AG502+AH502)*E502*D502</f>
        <v>0</v>
      </c>
      <c r="BC502" s="957">
        <f t="shared" ref="BC502:BK505" si="1310">N502*N502*0.074/12</f>
        <v>1.5786666666666667</v>
      </c>
      <c r="BD502" s="957">
        <f t="shared" si="1310"/>
        <v>1.5786666666666667</v>
      </c>
      <c r="BE502" s="957">
        <f t="shared" si="1310"/>
        <v>1.5786666666666667</v>
      </c>
      <c r="BF502" s="957">
        <f t="shared" si="1310"/>
        <v>1.5786666666666667</v>
      </c>
      <c r="BG502" s="957">
        <f t="shared" si="1310"/>
        <v>1.5786666666666667</v>
      </c>
      <c r="BH502" s="957">
        <f t="shared" si="1310"/>
        <v>1.5786666666666667</v>
      </c>
      <c r="BI502" s="957">
        <f t="shared" si="1310"/>
        <v>0.39466666666666667</v>
      </c>
      <c r="BJ502" s="957">
        <f t="shared" si="1310"/>
        <v>0</v>
      </c>
      <c r="BK502" s="957">
        <f t="shared" si="1310"/>
        <v>0</v>
      </c>
      <c r="BL502" s="948">
        <f t="shared" ref="BL502:BR505" si="1311">AT502*BC502</f>
        <v>39.782400000000003</v>
      </c>
      <c r="BM502" s="948">
        <f t="shared" si="1311"/>
        <v>26.521599999999999</v>
      </c>
      <c r="BN502" s="948">
        <f t="shared" si="1311"/>
        <v>28.491776000000002</v>
      </c>
      <c r="BO502" s="948">
        <f t="shared" si="1311"/>
        <v>28.491776000000002</v>
      </c>
      <c r="BP502" s="948">
        <f t="shared" si="1311"/>
        <v>39.782400000000003</v>
      </c>
      <c r="BQ502" s="948">
        <f t="shared" si="1311"/>
        <v>26.521599999999999</v>
      </c>
      <c r="BR502" s="948">
        <f t="shared" si="1311"/>
        <v>49.208618666666666</v>
      </c>
      <c r="BS502" s="948">
        <f>BB502*BK502</f>
        <v>0</v>
      </c>
      <c r="BT502" s="955">
        <f>SUM(BL502:BS502)/K502</f>
        <v>187.73598322851154</v>
      </c>
    </row>
    <row r="503" spans="1:72">
      <c r="A503" s="952">
        <v>9</v>
      </c>
      <c r="B503" s="952" t="s">
        <v>1180</v>
      </c>
      <c r="C503" s="950" t="s">
        <v>1127</v>
      </c>
      <c r="D503" s="950">
        <v>1</v>
      </c>
      <c r="E503" s="950">
        <v>1</v>
      </c>
      <c r="F503" s="948">
        <v>8.4</v>
      </c>
      <c r="G503" s="948">
        <v>0.3</v>
      </c>
      <c r="H503" s="948">
        <v>0.65</v>
      </c>
      <c r="I503" s="948">
        <v>0.12</v>
      </c>
      <c r="J503" s="948">
        <f t="shared" si="1286"/>
        <v>0.53</v>
      </c>
      <c r="K503" s="948">
        <f t="shared" si="1287"/>
        <v>1.3356000000000001</v>
      </c>
      <c r="L503" s="948">
        <f t="shared" si="1288"/>
        <v>8.9040000000000017</v>
      </c>
      <c r="M503" s="952"/>
      <c r="N503" s="950">
        <v>16</v>
      </c>
      <c r="O503" s="950">
        <v>16</v>
      </c>
      <c r="P503" s="950">
        <v>16</v>
      </c>
      <c r="Q503" s="950">
        <v>16</v>
      </c>
      <c r="R503" s="950">
        <v>16</v>
      </c>
      <c r="S503" s="950">
        <v>16</v>
      </c>
      <c r="T503" s="950">
        <v>8</v>
      </c>
      <c r="U503" s="950"/>
      <c r="V503" s="950"/>
      <c r="W503" s="950">
        <v>200</v>
      </c>
      <c r="X503" s="950">
        <v>100</v>
      </c>
      <c r="Y503" s="950">
        <v>100</v>
      </c>
      <c r="Z503" s="950">
        <v>9</v>
      </c>
      <c r="AA503" s="950">
        <v>6</v>
      </c>
      <c r="AB503" s="950">
        <v>4</v>
      </c>
      <c r="AC503" s="950">
        <v>4</v>
      </c>
      <c r="AD503" s="950">
        <v>9</v>
      </c>
      <c r="AE503" s="950">
        <v>6</v>
      </c>
      <c r="AF503" s="955">
        <f t="shared" si="1289"/>
        <v>11.5</v>
      </c>
      <c r="AG503" s="955">
        <f t="shared" si="1290"/>
        <v>43</v>
      </c>
      <c r="AH503" s="955">
        <f t="shared" si="1291"/>
        <v>22</v>
      </c>
      <c r="AI503" s="955">
        <v>0</v>
      </c>
      <c r="AJ503" s="955">
        <v>0</v>
      </c>
      <c r="AK503" s="948">
        <f t="shared" si="1292"/>
        <v>2.9000000000000004</v>
      </c>
      <c r="AL503" s="948">
        <f t="shared" si="1293"/>
        <v>2.9000000000000004</v>
      </c>
      <c r="AM503" s="948">
        <f t="shared" si="1294"/>
        <v>4.7120000000000006</v>
      </c>
      <c r="AN503" s="948">
        <f t="shared" si="1295"/>
        <v>4.7120000000000006</v>
      </c>
      <c r="AO503" s="948">
        <f t="shared" si="1296"/>
        <v>2.9000000000000004</v>
      </c>
      <c r="AP503" s="948">
        <f t="shared" si="1297"/>
        <v>2.9000000000000004</v>
      </c>
      <c r="AQ503" s="948">
        <f t="shared" si="1298"/>
        <v>1.708</v>
      </c>
      <c r="AR503" s="948">
        <f t="shared" si="1299"/>
        <v>0</v>
      </c>
      <c r="AS503" s="948">
        <f t="shared" si="1300"/>
        <v>0</v>
      </c>
      <c r="AT503" s="948">
        <f t="shared" si="1301"/>
        <v>26.1</v>
      </c>
      <c r="AU503" s="948">
        <f t="shared" si="1302"/>
        <v>17.400000000000002</v>
      </c>
      <c r="AV503" s="948">
        <f t="shared" si="1303"/>
        <v>18.848000000000003</v>
      </c>
      <c r="AW503" s="948">
        <f t="shared" si="1304"/>
        <v>18.848000000000003</v>
      </c>
      <c r="AX503" s="948">
        <f t="shared" si="1305"/>
        <v>26.1</v>
      </c>
      <c r="AY503" s="948">
        <f t="shared" si="1306"/>
        <v>17.400000000000002</v>
      </c>
      <c r="AZ503" s="948">
        <f t="shared" si="1307"/>
        <v>130.66200000000001</v>
      </c>
      <c r="BA503" s="948">
        <f t="shared" si="1308"/>
        <v>0</v>
      </c>
      <c r="BB503" s="948">
        <f t="shared" si="1309"/>
        <v>0</v>
      </c>
      <c r="BC503" s="957">
        <f t="shared" si="1310"/>
        <v>1.5786666666666667</v>
      </c>
      <c r="BD503" s="957">
        <f t="shared" si="1310"/>
        <v>1.5786666666666667</v>
      </c>
      <c r="BE503" s="957">
        <f t="shared" si="1310"/>
        <v>1.5786666666666667</v>
      </c>
      <c r="BF503" s="957">
        <f t="shared" si="1310"/>
        <v>1.5786666666666667</v>
      </c>
      <c r="BG503" s="957">
        <f t="shared" si="1310"/>
        <v>1.5786666666666667</v>
      </c>
      <c r="BH503" s="957">
        <f t="shared" si="1310"/>
        <v>1.5786666666666667</v>
      </c>
      <c r="BI503" s="957">
        <f t="shared" si="1310"/>
        <v>0.39466666666666667</v>
      </c>
      <c r="BJ503" s="957">
        <f t="shared" si="1310"/>
        <v>0</v>
      </c>
      <c r="BK503" s="957">
        <f t="shared" si="1310"/>
        <v>0</v>
      </c>
      <c r="BL503" s="948">
        <f t="shared" si="1311"/>
        <v>41.203200000000002</v>
      </c>
      <c r="BM503" s="948">
        <f t="shared" si="1311"/>
        <v>27.468800000000002</v>
      </c>
      <c r="BN503" s="948">
        <f t="shared" si="1311"/>
        <v>29.754709333333338</v>
      </c>
      <c r="BO503" s="948">
        <f t="shared" si="1311"/>
        <v>29.754709333333338</v>
      </c>
      <c r="BP503" s="948">
        <f t="shared" si="1311"/>
        <v>41.203200000000002</v>
      </c>
      <c r="BQ503" s="948">
        <f t="shared" si="1311"/>
        <v>27.468800000000002</v>
      </c>
      <c r="BR503" s="948">
        <f t="shared" si="1311"/>
        <v>51.567936000000003</v>
      </c>
      <c r="BS503" s="948">
        <f>BB503*BK503</f>
        <v>0</v>
      </c>
      <c r="BT503" s="955">
        <f>SUM(BL503:BS503)/K503</f>
        <v>185.99981631226916</v>
      </c>
    </row>
    <row r="504" spans="1:72">
      <c r="A504" s="952">
        <v>10</v>
      </c>
      <c r="B504" s="952" t="s">
        <v>1194</v>
      </c>
      <c r="C504" s="950" t="s">
        <v>1195</v>
      </c>
      <c r="D504" s="950">
        <v>1</v>
      </c>
      <c r="E504" s="950">
        <v>1</v>
      </c>
      <c r="F504" s="948">
        <v>12</v>
      </c>
      <c r="G504" s="948">
        <v>0.35</v>
      </c>
      <c r="H504" s="948">
        <v>0.8</v>
      </c>
      <c r="I504" s="948">
        <v>0.12</v>
      </c>
      <c r="J504" s="948">
        <f t="shared" si="1286"/>
        <v>0.68</v>
      </c>
      <c r="K504" s="948">
        <f t="shared" si="1287"/>
        <v>2.8559999999999999</v>
      </c>
      <c r="L504" s="948">
        <f t="shared" si="1288"/>
        <v>16.32</v>
      </c>
      <c r="M504" s="952"/>
      <c r="N504" s="950">
        <v>25</v>
      </c>
      <c r="O504" s="950">
        <v>25</v>
      </c>
      <c r="P504" s="950">
        <v>25</v>
      </c>
      <c r="Q504" s="950">
        <v>25</v>
      </c>
      <c r="R504" s="950">
        <v>25</v>
      </c>
      <c r="S504" s="950">
        <v>25</v>
      </c>
      <c r="T504" s="950">
        <v>8</v>
      </c>
      <c r="U504" s="950"/>
      <c r="V504" s="950"/>
      <c r="W504" s="950">
        <v>200</v>
      </c>
      <c r="X504" s="950">
        <v>100</v>
      </c>
      <c r="Y504" s="950">
        <v>100</v>
      </c>
      <c r="Z504" s="950">
        <v>9</v>
      </c>
      <c r="AA504" s="950">
        <v>6</v>
      </c>
      <c r="AB504" s="950">
        <v>4</v>
      </c>
      <c r="AC504" s="950">
        <v>4</v>
      </c>
      <c r="AD504" s="950">
        <v>9</v>
      </c>
      <c r="AE504" s="950">
        <v>6</v>
      </c>
      <c r="AF504" s="955">
        <f t="shared" si="1289"/>
        <v>16</v>
      </c>
      <c r="AG504" s="955">
        <f t="shared" si="1290"/>
        <v>61</v>
      </c>
      <c r="AH504" s="955">
        <f t="shared" si="1291"/>
        <v>31</v>
      </c>
      <c r="AI504" s="955">
        <v>0</v>
      </c>
      <c r="AJ504" s="955">
        <v>0</v>
      </c>
      <c r="AK504" s="948">
        <f t="shared" si="1292"/>
        <v>4.25</v>
      </c>
      <c r="AL504" s="948">
        <f t="shared" si="1293"/>
        <v>4.25</v>
      </c>
      <c r="AM504" s="948">
        <f t="shared" si="1294"/>
        <v>6.8</v>
      </c>
      <c r="AN504" s="948">
        <f t="shared" si="1295"/>
        <v>6.8</v>
      </c>
      <c r="AO504" s="948">
        <f t="shared" si="1296"/>
        <v>4.25</v>
      </c>
      <c r="AP504" s="948">
        <f t="shared" si="1297"/>
        <v>4.25</v>
      </c>
      <c r="AQ504" s="948">
        <f t="shared" si="1298"/>
        <v>2.1079999999999997</v>
      </c>
      <c r="AR504" s="948">
        <f t="shared" si="1299"/>
        <v>0</v>
      </c>
      <c r="AS504" s="948">
        <f t="shared" si="1300"/>
        <v>0</v>
      </c>
      <c r="AT504" s="948">
        <f t="shared" si="1301"/>
        <v>38.25</v>
      </c>
      <c r="AU504" s="948">
        <f t="shared" si="1302"/>
        <v>25.5</v>
      </c>
      <c r="AV504" s="948">
        <f t="shared" si="1303"/>
        <v>27.2</v>
      </c>
      <c r="AW504" s="948">
        <f t="shared" si="1304"/>
        <v>27.2</v>
      </c>
      <c r="AX504" s="948">
        <f t="shared" si="1305"/>
        <v>38.25</v>
      </c>
      <c r="AY504" s="948">
        <f t="shared" si="1306"/>
        <v>25.5</v>
      </c>
      <c r="AZ504" s="948">
        <f t="shared" si="1307"/>
        <v>227.66399999999996</v>
      </c>
      <c r="BA504" s="948">
        <f t="shared" si="1308"/>
        <v>0</v>
      </c>
      <c r="BB504" s="948">
        <f t="shared" si="1309"/>
        <v>0</v>
      </c>
      <c r="BC504" s="957">
        <f t="shared" si="1310"/>
        <v>3.8541666666666665</v>
      </c>
      <c r="BD504" s="957">
        <f t="shared" si="1310"/>
        <v>3.8541666666666665</v>
      </c>
      <c r="BE504" s="957">
        <f t="shared" si="1310"/>
        <v>3.8541666666666665</v>
      </c>
      <c r="BF504" s="957">
        <f t="shared" si="1310"/>
        <v>3.8541666666666665</v>
      </c>
      <c r="BG504" s="957">
        <f t="shared" si="1310"/>
        <v>3.8541666666666665</v>
      </c>
      <c r="BH504" s="957">
        <f t="shared" si="1310"/>
        <v>3.8541666666666665</v>
      </c>
      <c r="BI504" s="957">
        <f t="shared" si="1310"/>
        <v>0.39466666666666667</v>
      </c>
      <c r="BJ504" s="957">
        <f t="shared" si="1310"/>
        <v>0</v>
      </c>
      <c r="BK504" s="957">
        <f t="shared" si="1310"/>
        <v>0</v>
      </c>
      <c r="BL504" s="948">
        <f t="shared" si="1311"/>
        <v>147.421875</v>
      </c>
      <c r="BM504" s="948">
        <f t="shared" si="1311"/>
        <v>98.28125</v>
      </c>
      <c r="BN504" s="948">
        <f t="shared" si="1311"/>
        <v>104.83333333333333</v>
      </c>
      <c r="BO504" s="948">
        <f t="shared" si="1311"/>
        <v>104.83333333333333</v>
      </c>
      <c r="BP504" s="948">
        <f t="shared" si="1311"/>
        <v>147.421875</v>
      </c>
      <c r="BQ504" s="948">
        <f t="shared" si="1311"/>
        <v>98.28125</v>
      </c>
      <c r="BR504" s="948">
        <f t="shared" si="1311"/>
        <v>89.85139199999999</v>
      </c>
      <c r="BS504" s="948">
        <f>BB504*BK504</f>
        <v>0</v>
      </c>
      <c r="BT504" s="955">
        <f>SUM(BL504:BS504)/K504</f>
        <v>276.93428174603173</v>
      </c>
    </row>
    <row r="505" spans="1:72">
      <c r="A505" s="952">
        <v>11</v>
      </c>
      <c r="B505" s="952" t="s">
        <v>1196</v>
      </c>
      <c r="C505" s="950" t="s">
        <v>1197</v>
      </c>
      <c r="D505" s="950">
        <v>1</v>
      </c>
      <c r="E505" s="950">
        <v>1</v>
      </c>
      <c r="F505" s="948">
        <v>16</v>
      </c>
      <c r="G505" s="948">
        <v>0.3</v>
      </c>
      <c r="H505" s="948">
        <v>0.7</v>
      </c>
      <c r="I505" s="948">
        <v>0.12</v>
      </c>
      <c r="J505" s="948">
        <f t="shared" si="1286"/>
        <v>0.57999999999999996</v>
      </c>
      <c r="K505" s="948">
        <f t="shared" si="1287"/>
        <v>2.7839999999999998</v>
      </c>
      <c r="L505" s="948">
        <f t="shared" si="1288"/>
        <v>18.559999999999999</v>
      </c>
      <c r="M505" s="952"/>
      <c r="N505" s="950">
        <v>16</v>
      </c>
      <c r="O505" s="950">
        <v>16</v>
      </c>
      <c r="P505" s="950">
        <v>16</v>
      </c>
      <c r="Q505" s="950">
        <v>16</v>
      </c>
      <c r="R505" s="950">
        <v>16</v>
      </c>
      <c r="S505" s="950">
        <v>16</v>
      </c>
      <c r="T505" s="950">
        <v>8</v>
      </c>
      <c r="U505" s="950"/>
      <c r="V505" s="950"/>
      <c r="W505" s="950">
        <v>200</v>
      </c>
      <c r="X505" s="950">
        <v>100</v>
      </c>
      <c r="Y505" s="950">
        <v>100</v>
      </c>
      <c r="Z505" s="950">
        <v>9</v>
      </c>
      <c r="AA505" s="950">
        <v>6</v>
      </c>
      <c r="AB505" s="950">
        <v>4</v>
      </c>
      <c r="AC505" s="950">
        <v>4</v>
      </c>
      <c r="AD505" s="950">
        <v>9</v>
      </c>
      <c r="AE505" s="950">
        <v>6</v>
      </c>
      <c r="AF505" s="955">
        <f t="shared" si="1289"/>
        <v>21</v>
      </c>
      <c r="AG505" s="955">
        <f t="shared" si="1290"/>
        <v>81</v>
      </c>
      <c r="AH505" s="955">
        <f t="shared" si="1291"/>
        <v>41</v>
      </c>
      <c r="AI505" s="955">
        <v>0</v>
      </c>
      <c r="AJ505" s="955">
        <v>0</v>
      </c>
      <c r="AK505" s="948">
        <f t="shared" si="1292"/>
        <v>4.8000000000000007</v>
      </c>
      <c r="AL505" s="948">
        <f t="shared" si="1293"/>
        <v>4.8000000000000007</v>
      </c>
      <c r="AM505" s="948">
        <f t="shared" si="1294"/>
        <v>8.5120000000000005</v>
      </c>
      <c r="AN505" s="948">
        <f t="shared" si="1295"/>
        <v>8.5120000000000005</v>
      </c>
      <c r="AO505" s="948">
        <f t="shared" si="1296"/>
        <v>4.8000000000000007</v>
      </c>
      <c r="AP505" s="948">
        <f t="shared" si="1297"/>
        <v>4.8000000000000007</v>
      </c>
      <c r="AQ505" s="948">
        <f t="shared" si="1298"/>
        <v>1.8080000000000001</v>
      </c>
      <c r="AR505" s="948">
        <f t="shared" si="1299"/>
        <v>0</v>
      </c>
      <c r="AS505" s="948">
        <f t="shared" si="1300"/>
        <v>0</v>
      </c>
      <c r="AT505" s="948">
        <f t="shared" si="1301"/>
        <v>43.2</v>
      </c>
      <c r="AU505" s="948">
        <f t="shared" si="1302"/>
        <v>28.800000000000004</v>
      </c>
      <c r="AV505" s="948">
        <f t="shared" si="1303"/>
        <v>34.048000000000002</v>
      </c>
      <c r="AW505" s="948">
        <f t="shared" si="1304"/>
        <v>34.048000000000002</v>
      </c>
      <c r="AX505" s="948">
        <f t="shared" si="1305"/>
        <v>43.2</v>
      </c>
      <c r="AY505" s="948">
        <f t="shared" si="1306"/>
        <v>28.800000000000004</v>
      </c>
      <c r="AZ505" s="948">
        <f t="shared" si="1307"/>
        <v>258.54399999999998</v>
      </c>
      <c r="BA505" s="948">
        <f t="shared" si="1308"/>
        <v>0</v>
      </c>
      <c r="BB505" s="948">
        <f t="shared" si="1309"/>
        <v>0</v>
      </c>
      <c r="BC505" s="957">
        <f t="shared" si="1310"/>
        <v>1.5786666666666667</v>
      </c>
      <c r="BD505" s="957">
        <f t="shared" si="1310"/>
        <v>1.5786666666666667</v>
      </c>
      <c r="BE505" s="957">
        <f t="shared" si="1310"/>
        <v>1.5786666666666667</v>
      </c>
      <c r="BF505" s="957">
        <f t="shared" si="1310"/>
        <v>1.5786666666666667</v>
      </c>
      <c r="BG505" s="957">
        <f t="shared" si="1310"/>
        <v>1.5786666666666667</v>
      </c>
      <c r="BH505" s="957">
        <f t="shared" si="1310"/>
        <v>1.5786666666666667</v>
      </c>
      <c r="BI505" s="957">
        <f t="shared" si="1310"/>
        <v>0.39466666666666667</v>
      </c>
      <c r="BJ505" s="957">
        <f t="shared" si="1310"/>
        <v>0</v>
      </c>
      <c r="BK505" s="957">
        <f t="shared" si="1310"/>
        <v>0</v>
      </c>
      <c r="BL505" s="948">
        <f t="shared" si="1311"/>
        <v>68.198400000000007</v>
      </c>
      <c r="BM505" s="948">
        <f t="shared" si="1311"/>
        <v>45.465600000000009</v>
      </c>
      <c r="BN505" s="948">
        <f t="shared" si="1311"/>
        <v>53.750442666666672</v>
      </c>
      <c r="BO505" s="948">
        <f t="shared" si="1311"/>
        <v>53.750442666666672</v>
      </c>
      <c r="BP505" s="948">
        <f t="shared" si="1311"/>
        <v>68.198400000000007</v>
      </c>
      <c r="BQ505" s="948">
        <f t="shared" si="1311"/>
        <v>45.465600000000009</v>
      </c>
      <c r="BR505" s="948">
        <f t="shared" si="1311"/>
        <v>102.03869866666666</v>
      </c>
      <c r="BS505" s="948">
        <f>BB505*BK505</f>
        <v>0</v>
      </c>
      <c r="BT505" s="955">
        <f>SUM(BL505:BS505)/K505</f>
        <v>156.92082758620691</v>
      </c>
    </row>
    <row r="506" spans="1:72">
      <c r="A506" s="952"/>
      <c r="B506" s="952"/>
      <c r="C506" s="950"/>
      <c r="D506" s="950"/>
      <c r="E506" s="950"/>
      <c r="F506" s="948"/>
      <c r="G506" s="948"/>
      <c r="H506" s="948"/>
      <c r="I506" s="948"/>
      <c r="J506" s="948"/>
      <c r="K506" s="948">
        <f>SUM(K487:K505)</f>
        <v>68.524200000000022</v>
      </c>
      <c r="L506" s="948">
        <f>SUM(L487:L505)</f>
        <v>484.51200000000006</v>
      </c>
      <c r="M506" s="952"/>
      <c r="N506" s="950"/>
      <c r="O506" s="950"/>
      <c r="P506" s="950"/>
      <c r="Q506" s="950"/>
      <c r="R506" s="950"/>
      <c r="S506" s="950"/>
      <c r="T506" s="950"/>
      <c r="U506" s="950"/>
      <c r="V506" s="950"/>
      <c r="W506" s="950"/>
      <c r="X506" s="950"/>
      <c r="Y506" s="950"/>
      <c r="Z506" s="950"/>
      <c r="AA506" s="950"/>
      <c r="AB506" s="950"/>
      <c r="AC506" s="950"/>
      <c r="AD506" s="950"/>
      <c r="AE506" s="950"/>
      <c r="AF506" s="955"/>
      <c r="AG506" s="955"/>
      <c r="AH506" s="955"/>
      <c r="AI506" s="955"/>
      <c r="AJ506" s="955"/>
      <c r="AK506" s="948"/>
      <c r="AL506" s="948"/>
      <c r="AM506" s="948"/>
      <c r="AN506" s="948"/>
      <c r="AO506" s="948"/>
      <c r="AP506" s="948"/>
      <c r="AQ506" s="948"/>
      <c r="AR506" s="948"/>
      <c r="AS506" s="948"/>
      <c r="AT506" s="948"/>
      <c r="AU506" s="948"/>
      <c r="AV506" s="948"/>
      <c r="AW506" s="948"/>
      <c r="AX506" s="948"/>
      <c r="AY506" s="948"/>
      <c r="AZ506" s="948"/>
      <c r="BA506" s="948"/>
      <c r="BB506" s="948"/>
      <c r="BC506" s="957"/>
      <c r="BD506" s="957"/>
      <c r="BE506" s="957"/>
      <c r="BF506" s="957"/>
      <c r="BG506" s="957"/>
      <c r="BH506" s="957"/>
      <c r="BI506" s="957"/>
      <c r="BJ506" s="957"/>
      <c r="BK506" s="957"/>
      <c r="BL506" s="948"/>
      <c r="BM506" s="948"/>
      <c r="BN506" s="948"/>
      <c r="BO506" s="948"/>
      <c r="BP506" s="948"/>
      <c r="BQ506" s="948"/>
      <c r="BR506" s="948"/>
      <c r="BS506" s="948"/>
      <c r="BT506" s="955"/>
    </row>
    <row r="507" spans="1:72">
      <c r="A507" s="949" t="s">
        <v>66</v>
      </c>
      <c r="B507" s="949" t="s">
        <v>1050</v>
      </c>
      <c r="C507" s="949" t="s">
        <v>983</v>
      </c>
      <c r="D507" s="950" t="s">
        <v>1051</v>
      </c>
      <c r="E507" s="950" t="s">
        <v>1052</v>
      </c>
      <c r="F507" s="951" t="s">
        <v>984</v>
      </c>
      <c r="G507" s="951"/>
      <c r="H507" s="951"/>
      <c r="I507" s="948" t="s">
        <v>985</v>
      </c>
      <c r="J507" s="948" t="s">
        <v>1053</v>
      </c>
      <c r="K507" s="948" t="s">
        <v>392</v>
      </c>
      <c r="L507" s="948" t="s">
        <v>377</v>
      </c>
      <c r="M507" s="952"/>
      <c r="N507" s="949" t="s">
        <v>1054</v>
      </c>
      <c r="O507" s="949"/>
      <c r="P507" s="949"/>
      <c r="Q507" s="949"/>
      <c r="R507" s="949"/>
      <c r="S507" s="949"/>
      <c r="T507" s="949" t="s">
        <v>1055</v>
      </c>
      <c r="U507" s="949"/>
      <c r="V507" s="949"/>
      <c r="W507" s="949" t="s">
        <v>989</v>
      </c>
      <c r="X507" s="949"/>
      <c r="Y507" s="949"/>
      <c r="Z507" s="949" t="s">
        <v>1056</v>
      </c>
      <c r="AA507" s="949"/>
      <c r="AB507" s="949"/>
      <c r="AC507" s="949"/>
      <c r="AD507" s="949"/>
      <c r="AE507" s="949"/>
      <c r="AF507" s="953" t="s">
        <v>1057</v>
      </c>
      <c r="AG507" s="953"/>
      <c r="AH507" s="953"/>
      <c r="AI507" s="953"/>
      <c r="AJ507" s="953"/>
      <c r="AK507" s="951" t="s">
        <v>1058</v>
      </c>
      <c r="AL507" s="951"/>
      <c r="AM507" s="951"/>
      <c r="AN507" s="951"/>
      <c r="AO507" s="951"/>
      <c r="AP507" s="951"/>
      <c r="AQ507" s="951" t="s">
        <v>1059</v>
      </c>
      <c r="AR507" s="951"/>
      <c r="AS507" s="951"/>
      <c r="AT507" s="951" t="s">
        <v>1060</v>
      </c>
      <c r="AU507" s="951"/>
      <c r="AV507" s="951"/>
      <c r="AW507" s="951"/>
      <c r="AX507" s="951"/>
      <c r="AY507" s="951"/>
      <c r="AZ507" s="951" t="s">
        <v>1061</v>
      </c>
      <c r="BA507" s="951"/>
      <c r="BB507" s="951"/>
      <c r="BC507" s="954" t="s">
        <v>1062</v>
      </c>
      <c r="BD507" s="954"/>
      <c r="BE507" s="954"/>
      <c r="BF507" s="954"/>
      <c r="BG507" s="954"/>
      <c r="BH507" s="954"/>
      <c r="BI507" s="954" t="s">
        <v>996</v>
      </c>
      <c r="BJ507" s="954"/>
      <c r="BK507" s="954"/>
      <c r="BL507" s="951" t="s">
        <v>997</v>
      </c>
      <c r="BM507" s="951"/>
      <c r="BN507" s="951"/>
      <c r="BO507" s="951"/>
      <c r="BP507" s="951"/>
      <c r="BQ507" s="951"/>
      <c r="BR507" s="951"/>
      <c r="BS507" s="951"/>
      <c r="BT507" s="955" t="s">
        <v>998</v>
      </c>
    </row>
    <row r="508" spans="1:72">
      <c r="A508" s="949"/>
      <c r="B508" s="949"/>
      <c r="C508" s="949"/>
      <c r="D508" s="949" t="s">
        <v>1063</v>
      </c>
      <c r="E508" s="949" t="s">
        <v>391</v>
      </c>
      <c r="F508" s="948" t="s">
        <v>999</v>
      </c>
      <c r="G508" s="948" t="s">
        <v>1000</v>
      </c>
      <c r="H508" s="948" t="s">
        <v>1001</v>
      </c>
      <c r="I508" s="948" t="s">
        <v>1002</v>
      </c>
      <c r="J508" s="948" t="s">
        <v>1003</v>
      </c>
      <c r="K508" s="951" t="s">
        <v>1064</v>
      </c>
      <c r="L508" s="948"/>
      <c r="M508" s="952"/>
      <c r="N508" s="949" t="s">
        <v>1001</v>
      </c>
      <c r="O508" s="949"/>
      <c r="P508" s="949" t="s">
        <v>1000</v>
      </c>
      <c r="Q508" s="949"/>
      <c r="R508" s="949" t="s">
        <v>1001</v>
      </c>
      <c r="S508" s="949"/>
      <c r="T508" s="950" t="s">
        <v>1007</v>
      </c>
      <c r="U508" s="949" t="s">
        <v>1005</v>
      </c>
      <c r="V508" s="949"/>
      <c r="W508" s="949"/>
      <c r="X508" s="949" t="s">
        <v>1000</v>
      </c>
      <c r="Y508" s="949" t="s">
        <v>1001</v>
      </c>
      <c r="Z508" s="949" t="s">
        <v>1001</v>
      </c>
      <c r="AA508" s="949"/>
      <c r="AB508" s="949" t="s">
        <v>1000</v>
      </c>
      <c r="AC508" s="949"/>
      <c r="AD508" s="949" t="s">
        <v>1001</v>
      </c>
      <c r="AE508" s="949"/>
      <c r="AF508" s="953" t="s">
        <v>1004</v>
      </c>
      <c r="AG508" s="953"/>
      <c r="AH508" s="953"/>
      <c r="AI508" s="953" t="s">
        <v>1065</v>
      </c>
      <c r="AJ508" s="953"/>
      <c r="AK508" s="951" t="s">
        <v>1001</v>
      </c>
      <c r="AL508" s="951"/>
      <c r="AM508" s="951" t="s">
        <v>1000</v>
      </c>
      <c r="AN508" s="951"/>
      <c r="AO508" s="951" t="s">
        <v>1001</v>
      </c>
      <c r="AP508" s="951"/>
      <c r="AQ508" s="951" t="s">
        <v>1004</v>
      </c>
      <c r="AR508" s="951" t="s">
        <v>1005</v>
      </c>
      <c r="AS508" s="951"/>
      <c r="AT508" s="951" t="s">
        <v>1066</v>
      </c>
      <c r="AU508" s="951"/>
      <c r="AV508" s="951" t="s">
        <v>1000</v>
      </c>
      <c r="AW508" s="951"/>
      <c r="AX508" s="951" t="s">
        <v>1001</v>
      </c>
      <c r="AY508" s="951"/>
      <c r="AZ508" s="951" t="s">
        <v>1004</v>
      </c>
      <c r="BA508" s="951" t="s">
        <v>1005</v>
      </c>
      <c r="BB508" s="951"/>
      <c r="BC508" s="953" t="s">
        <v>1001</v>
      </c>
      <c r="BD508" s="953"/>
      <c r="BE508" s="953" t="s">
        <v>1000</v>
      </c>
      <c r="BF508" s="953"/>
      <c r="BG508" s="951" t="s">
        <v>1001</v>
      </c>
      <c r="BH508" s="951"/>
      <c r="BI508" s="956" t="s">
        <v>1004</v>
      </c>
      <c r="BJ508" s="954" t="s">
        <v>1005</v>
      </c>
      <c r="BK508" s="954"/>
      <c r="BL508" s="951" t="s">
        <v>1006</v>
      </c>
      <c r="BM508" s="951"/>
      <c r="BN508" s="951"/>
      <c r="BO508" s="951"/>
      <c r="BP508" s="951"/>
      <c r="BQ508" s="951"/>
      <c r="BR508" s="951" t="s">
        <v>1067</v>
      </c>
      <c r="BS508" s="951"/>
      <c r="BT508" s="953" t="s">
        <v>1068</v>
      </c>
    </row>
    <row r="509" spans="1:72">
      <c r="A509" s="949"/>
      <c r="B509" s="949"/>
      <c r="C509" s="949" t="s">
        <v>391</v>
      </c>
      <c r="D509" s="949"/>
      <c r="E509" s="949"/>
      <c r="F509" s="948" t="s">
        <v>1069</v>
      </c>
      <c r="G509" s="948" t="s">
        <v>1069</v>
      </c>
      <c r="H509" s="948" t="s">
        <v>1069</v>
      </c>
      <c r="I509" s="948" t="s">
        <v>1069</v>
      </c>
      <c r="J509" s="948" t="s">
        <v>1069</v>
      </c>
      <c r="K509" s="951"/>
      <c r="L509" s="948" t="s">
        <v>1070</v>
      </c>
      <c r="M509" s="952"/>
      <c r="N509" s="949"/>
      <c r="O509" s="949"/>
      <c r="P509" s="949"/>
      <c r="Q509" s="949"/>
      <c r="R509" s="949"/>
      <c r="S509" s="949"/>
      <c r="T509" s="950" t="s">
        <v>1071</v>
      </c>
      <c r="U509" s="950" t="s">
        <v>1012</v>
      </c>
      <c r="V509" s="950" t="s">
        <v>494</v>
      </c>
      <c r="W509" s="949"/>
      <c r="X509" s="949"/>
      <c r="Y509" s="949"/>
      <c r="Z509" s="949"/>
      <c r="AA509" s="949"/>
      <c r="AB509" s="949"/>
      <c r="AC509" s="949"/>
      <c r="AD509" s="949"/>
      <c r="AE509" s="949"/>
      <c r="AF509" s="955" t="s">
        <v>1001</v>
      </c>
      <c r="AG509" s="955" t="s">
        <v>1000</v>
      </c>
      <c r="AH509" s="955" t="s">
        <v>1001</v>
      </c>
      <c r="AI509" s="955" t="s">
        <v>1012</v>
      </c>
      <c r="AJ509" s="955" t="s">
        <v>494</v>
      </c>
      <c r="AK509" s="951"/>
      <c r="AL509" s="951"/>
      <c r="AM509" s="951"/>
      <c r="AN509" s="951"/>
      <c r="AO509" s="951"/>
      <c r="AP509" s="951"/>
      <c r="AQ509" s="951"/>
      <c r="AR509" s="948" t="s">
        <v>1012</v>
      </c>
      <c r="AS509" s="948" t="s">
        <v>494</v>
      </c>
      <c r="AT509" s="951"/>
      <c r="AU509" s="951"/>
      <c r="AV509" s="951"/>
      <c r="AW509" s="951"/>
      <c r="AX509" s="951"/>
      <c r="AY509" s="951"/>
      <c r="AZ509" s="951"/>
      <c r="BA509" s="948" t="s">
        <v>1012</v>
      </c>
      <c r="BB509" s="948" t="s">
        <v>494</v>
      </c>
      <c r="BC509" s="953"/>
      <c r="BD509" s="953"/>
      <c r="BE509" s="953"/>
      <c r="BF509" s="953"/>
      <c r="BG509" s="951"/>
      <c r="BH509" s="951"/>
      <c r="BI509" s="957"/>
      <c r="BJ509" s="957" t="s">
        <v>1012</v>
      </c>
      <c r="BK509" s="957" t="s">
        <v>494</v>
      </c>
      <c r="BL509" s="951" t="s">
        <v>1001</v>
      </c>
      <c r="BM509" s="951"/>
      <c r="BN509" s="951" t="s">
        <v>1000</v>
      </c>
      <c r="BO509" s="951"/>
      <c r="BP509" s="951" t="s">
        <v>1001</v>
      </c>
      <c r="BQ509" s="951"/>
      <c r="BR509" s="951" t="s">
        <v>1004</v>
      </c>
      <c r="BS509" s="948"/>
      <c r="BT509" s="953"/>
    </row>
    <row r="510" spans="1:72">
      <c r="A510" s="949"/>
      <c r="B510" s="949"/>
      <c r="C510" s="949"/>
      <c r="D510" s="950" t="s">
        <v>1072</v>
      </c>
      <c r="E510" s="950" t="s">
        <v>1073</v>
      </c>
      <c r="F510" s="948" t="s">
        <v>1074</v>
      </c>
      <c r="G510" s="948" t="s">
        <v>1075</v>
      </c>
      <c r="H510" s="948" t="s">
        <v>1076</v>
      </c>
      <c r="I510" s="948" t="s">
        <v>1077</v>
      </c>
      <c r="J510" s="948" t="s">
        <v>1078</v>
      </c>
      <c r="K510" s="948" t="s">
        <v>1079</v>
      </c>
      <c r="L510" s="948" t="s">
        <v>1080</v>
      </c>
      <c r="M510" s="952"/>
      <c r="N510" s="949" t="s">
        <v>1081</v>
      </c>
      <c r="O510" s="949"/>
      <c r="P510" s="949"/>
      <c r="Q510" s="949"/>
      <c r="R510" s="949"/>
      <c r="S510" s="949"/>
      <c r="T510" s="950" t="s">
        <v>1082</v>
      </c>
      <c r="U510" s="949" t="s">
        <v>1081</v>
      </c>
      <c r="V510" s="949"/>
      <c r="W510" s="949" t="s">
        <v>1081</v>
      </c>
      <c r="X510" s="949"/>
      <c r="Y510" s="949"/>
      <c r="Z510" s="949" t="s">
        <v>1082</v>
      </c>
      <c r="AA510" s="949"/>
      <c r="AB510" s="949"/>
      <c r="AC510" s="949"/>
      <c r="AD510" s="949"/>
      <c r="AE510" s="949"/>
      <c r="AF510" s="953" t="s">
        <v>1082</v>
      </c>
      <c r="AG510" s="953"/>
      <c r="AH510" s="953"/>
      <c r="AI510" s="953"/>
      <c r="AJ510" s="953"/>
      <c r="AK510" s="951" t="s">
        <v>1069</v>
      </c>
      <c r="AL510" s="951"/>
      <c r="AM510" s="951"/>
      <c r="AN510" s="951"/>
      <c r="AO510" s="951"/>
      <c r="AP510" s="951"/>
      <c r="AQ510" s="951"/>
      <c r="AR510" s="951"/>
      <c r="AS510" s="951"/>
      <c r="AT510" s="951"/>
      <c r="AU510" s="951"/>
      <c r="AV510" s="951"/>
      <c r="AW510" s="951"/>
      <c r="AX510" s="951"/>
      <c r="AY510" s="951"/>
      <c r="AZ510" s="951"/>
      <c r="BA510" s="951"/>
      <c r="BB510" s="951"/>
      <c r="BC510" s="954"/>
      <c r="BD510" s="954"/>
      <c r="BE510" s="954"/>
      <c r="BF510" s="954"/>
      <c r="BG510" s="954"/>
      <c r="BH510" s="954"/>
      <c r="BI510" s="954"/>
      <c r="BJ510" s="954"/>
      <c r="BK510" s="954"/>
      <c r="BL510" s="951"/>
      <c r="BM510" s="951"/>
      <c r="BN510" s="951"/>
      <c r="BO510" s="951"/>
      <c r="BP510" s="951"/>
      <c r="BQ510" s="951"/>
      <c r="BR510" s="951"/>
      <c r="BS510" s="948" t="s">
        <v>494</v>
      </c>
      <c r="BT510" s="953"/>
    </row>
    <row r="511" spans="1:72">
      <c r="A511" s="952"/>
      <c r="B511" s="952"/>
      <c r="C511" s="950"/>
      <c r="D511" s="950"/>
      <c r="E511" s="950"/>
      <c r="F511" s="948"/>
      <c r="G511" s="948"/>
      <c r="H511" s="948"/>
      <c r="I511" s="948"/>
      <c r="J511" s="948"/>
      <c r="K511" s="948"/>
      <c r="L511" s="948"/>
      <c r="M511" s="952"/>
      <c r="N511" s="950"/>
      <c r="O511" s="950"/>
      <c r="P511" s="950"/>
      <c r="Q511" s="950"/>
      <c r="R511" s="950"/>
      <c r="S511" s="950"/>
      <c r="T511" s="950"/>
      <c r="U511" s="950"/>
      <c r="V511" s="950"/>
      <c r="W511" s="950"/>
      <c r="X511" s="950"/>
      <c r="Y511" s="950"/>
      <c r="Z511" s="950"/>
      <c r="AA511" s="950"/>
      <c r="AB511" s="950"/>
      <c r="AC511" s="950"/>
      <c r="AD511" s="950"/>
      <c r="AE511" s="950"/>
      <c r="AF511" s="955"/>
      <c r="AG511" s="955"/>
      <c r="AH511" s="955"/>
      <c r="AI511" s="955"/>
      <c r="AJ511" s="955"/>
      <c r="AK511" s="948"/>
      <c r="AL511" s="948"/>
      <c r="AM511" s="948"/>
      <c r="AN511" s="948"/>
      <c r="AO511" s="948"/>
      <c r="AP511" s="948"/>
      <c r="AQ511" s="948"/>
      <c r="AR511" s="948"/>
      <c r="AS511" s="948"/>
      <c r="AT511" s="948"/>
      <c r="AU511" s="948"/>
      <c r="AV511" s="948"/>
      <c r="AW511" s="948"/>
      <c r="AX511" s="948"/>
      <c r="AY511" s="948"/>
      <c r="AZ511" s="948"/>
      <c r="BA511" s="948"/>
      <c r="BB511" s="948"/>
      <c r="BC511" s="957"/>
      <c r="BD511" s="957"/>
      <c r="BE511" s="957"/>
      <c r="BF511" s="957"/>
      <c r="BG511" s="957"/>
      <c r="BH511" s="957"/>
      <c r="BI511" s="957"/>
      <c r="BJ511" s="957"/>
      <c r="BK511" s="957"/>
      <c r="BL511" s="948"/>
      <c r="BM511" s="948"/>
      <c r="BN511" s="948"/>
      <c r="BO511" s="948"/>
      <c r="BP511" s="948"/>
      <c r="BQ511" s="948"/>
      <c r="BR511" s="948"/>
      <c r="BS511" s="948"/>
      <c r="BT511" s="955"/>
    </row>
    <row r="512" spans="1:72">
      <c r="A512" s="958" t="s">
        <v>1206</v>
      </c>
      <c r="B512" s="952"/>
      <c r="C512" s="950"/>
      <c r="D512" s="950"/>
      <c r="E512" s="950"/>
      <c r="F512" s="948"/>
      <c r="G512" s="948"/>
      <c r="H512" s="948"/>
      <c r="I512" s="948"/>
      <c r="J512" s="948"/>
      <c r="K512" s="948"/>
      <c r="L512" s="948"/>
      <c r="M512" s="952"/>
      <c r="N512" s="958" t="str">
        <f>A512</f>
        <v>Balok Lantai 17</v>
      </c>
      <c r="O512" s="950"/>
      <c r="P512" s="950"/>
      <c r="Q512" s="950"/>
      <c r="R512" s="950"/>
      <c r="S512" s="950"/>
      <c r="T512" s="950"/>
      <c r="U512" s="950"/>
      <c r="V512" s="950"/>
      <c r="W512" s="950"/>
      <c r="X512" s="950"/>
      <c r="Y512" s="950"/>
      <c r="Z512" s="950"/>
      <c r="AA512" s="950"/>
      <c r="AB512" s="950"/>
      <c r="AC512" s="950"/>
      <c r="AD512" s="950"/>
      <c r="AE512" s="950"/>
      <c r="AF512" s="955"/>
      <c r="AG512" s="955"/>
      <c r="AH512" s="955"/>
      <c r="AI512" s="955"/>
      <c r="AJ512" s="955"/>
      <c r="AK512" s="948"/>
      <c r="AL512" s="948"/>
      <c r="AM512" s="948"/>
      <c r="AN512" s="948"/>
      <c r="AO512" s="948"/>
      <c r="AP512" s="948"/>
      <c r="AQ512" s="948"/>
      <c r="AR512" s="948"/>
      <c r="AS512" s="948"/>
      <c r="AT512" s="948"/>
      <c r="AU512" s="948"/>
      <c r="AV512" s="948"/>
      <c r="AW512" s="948"/>
      <c r="AX512" s="948"/>
      <c r="AY512" s="948"/>
      <c r="AZ512" s="948"/>
      <c r="BA512" s="948"/>
      <c r="BB512" s="948"/>
      <c r="BC512" s="957"/>
      <c r="BD512" s="957"/>
      <c r="BE512" s="957"/>
      <c r="BF512" s="957"/>
      <c r="BG512" s="957"/>
      <c r="BH512" s="957"/>
      <c r="BI512" s="957"/>
      <c r="BJ512" s="957"/>
      <c r="BK512" s="957"/>
      <c r="BL512" s="948"/>
      <c r="BM512" s="948"/>
      <c r="BN512" s="948"/>
      <c r="BO512" s="948"/>
      <c r="BP512" s="948"/>
      <c r="BQ512" s="948"/>
      <c r="BR512" s="948"/>
      <c r="BS512" s="948"/>
      <c r="BT512" s="955"/>
    </row>
    <row r="513" spans="1:72">
      <c r="A513" s="960" t="s">
        <v>2</v>
      </c>
      <c r="B513" s="960" t="s">
        <v>1084</v>
      </c>
      <c r="C513" s="950"/>
      <c r="D513" s="950"/>
      <c r="E513" s="950"/>
      <c r="F513" s="948"/>
      <c r="G513" s="948"/>
      <c r="H513" s="948"/>
      <c r="I513" s="948"/>
      <c r="J513" s="948"/>
      <c r="K513" s="948"/>
      <c r="L513" s="948"/>
      <c r="M513" s="952"/>
      <c r="N513" s="959" t="str">
        <f>A513</f>
        <v>A</v>
      </c>
      <c r="O513" s="959" t="str">
        <f>B513</f>
        <v>Vertikal</v>
      </c>
      <c r="P513" s="950"/>
      <c r="Q513" s="950"/>
      <c r="R513" s="950"/>
      <c r="S513" s="950"/>
      <c r="T513" s="950"/>
      <c r="U513" s="950"/>
      <c r="V513" s="950"/>
      <c r="W513" s="950"/>
      <c r="X513" s="950"/>
      <c r="Y513" s="950"/>
      <c r="Z513" s="950"/>
      <c r="AA513" s="950"/>
      <c r="AB513" s="950"/>
      <c r="AC513" s="950"/>
      <c r="AD513" s="950"/>
      <c r="AE513" s="950"/>
      <c r="AF513" s="955"/>
      <c r="AG513" s="955"/>
      <c r="AH513" s="955"/>
      <c r="AI513" s="955"/>
      <c r="AJ513" s="955"/>
      <c r="AK513" s="948"/>
      <c r="AL513" s="948"/>
      <c r="AM513" s="948"/>
      <c r="AN513" s="948"/>
      <c r="AO513" s="948"/>
      <c r="AP513" s="948"/>
      <c r="AQ513" s="948"/>
      <c r="AR513" s="948"/>
      <c r="AS513" s="948"/>
      <c r="AT513" s="948"/>
      <c r="AU513" s="948"/>
      <c r="AV513" s="948"/>
      <c r="AW513" s="948"/>
      <c r="AX513" s="948"/>
      <c r="AY513" s="948"/>
      <c r="AZ513" s="948"/>
      <c r="BA513" s="948"/>
      <c r="BB513" s="948"/>
      <c r="BC513" s="957"/>
      <c r="BD513" s="957"/>
      <c r="BE513" s="957"/>
      <c r="BF513" s="957"/>
      <c r="BG513" s="957"/>
      <c r="BH513" s="957"/>
      <c r="BI513" s="957"/>
      <c r="BJ513" s="957"/>
      <c r="BK513" s="957"/>
      <c r="BL513" s="948"/>
      <c r="BM513" s="948"/>
      <c r="BN513" s="948"/>
      <c r="BO513" s="948"/>
      <c r="BP513" s="948"/>
      <c r="BQ513" s="948"/>
      <c r="BR513" s="948"/>
      <c r="BS513" s="948"/>
      <c r="BT513" s="955"/>
    </row>
    <row r="514" spans="1:72">
      <c r="A514" s="952">
        <v>1</v>
      </c>
      <c r="B514" s="952" t="s">
        <v>1161</v>
      </c>
      <c r="C514" s="950" t="s">
        <v>1185</v>
      </c>
      <c r="D514" s="950">
        <v>1</v>
      </c>
      <c r="E514" s="950">
        <v>1</v>
      </c>
      <c r="F514" s="948">
        <v>64</v>
      </c>
      <c r="G514" s="948">
        <v>0.3</v>
      </c>
      <c r="H514" s="948">
        <v>0.65</v>
      </c>
      <c r="I514" s="948">
        <v>0.12</v>
      </c>
      <c r="J514" s="948">
        <f t="shared" ref="J514" si="1312">H514-I514</f>
        <v>0.53</v>
      </c>
      <c r="K514" s="948">
        <f>F514*G514*J514*D514*E514</f>
        <v>10.176</v>
      </c>
      <c r="L514" s="948">
        <f>(2*J514)*F514*E514*D514</f>
        <v>67.84</v>
      </c>
      <c r="M514" s="952"/>
      <c r="N514" s="950">
        <v>19</v>
      </c>
      <c r="O514" s="950">
        <v>19</v>
      </c>
      <c r="P514" s="950">
        <v>19</v>
      </c>
      <c r="Q514" s="950">
        <v>19</v>
      </c>
      <c r="R514" s="950">
        <v>19</v>
      </c>
      <c r="S514" s="950">
        <v>19</v>
      </c>
      <c r="T514" s="950">
        <v>8</v>
      </c>
      <c r="U514" s="950"/>
      <c r="V514" s="950"/>
      <c r="W514" s="950">
        <v>200</v>
      </c>
      <c r="X514" s="950">
        <v>100</v>
      </c>
      <c r="Y514" s="950">
        <v>100</v>
      </c>
      <c r="Z514" s="950">
        <v>4</v>
      </c>
      <c r="AA514" s="950">
        <v>4</v>
      </c>
      <c r="AB514" s="950">
        <v>2</v>
      </c>
      <c r="AC514" s="950">
        <v>2</v>
      </c>
      <c r="AD514" s="950">
        <v>4</v>
      </c>
      <c r="AE514" s="950">
        <v>4</v>
      </c>
      <c r="AF514" s="955">
        <f t="shared" ref="AF514:AF518" si="1313">(F514/4)/(W514/1000)+1</f>
        <v>81</v>
      </c>
      <c r="AG514" s="955">
        <f t="shared" ref="AG514:AG518" si="1314">(F514/2)/(X514/1000)+1</f>
        <v>321</v>
      </c>
      <c r="AH514" s="955">
        <f t="shared" ref="AH514:AH518" si="1315">(F514/4)/(Y514/1000)+1</f>
        <v>161</v>
      </c>
      <c r="AI514" s="955">
        <v>0</v>
      </c>
      <c r="AJ514" s="955">
        <v>0</v>
      </c>
      <c r="AK514" s="948">
        <f t="shared" ref="AK514:AK518" si="1316">(F514/4)+(20*N514/1000)+(10*N514/1000)+(8*N514/1000)+(6*2*N514/1000)</f>
        <v>16.950000000000003</v>
      </c>
      <c r="AL514" s="948">
        <f t="shared" ref="AL514:AL518" si="1317">(F514/4)+(20*O514/1000)+(10*O514/1000)+(8*O514/1000)+(6*2*O514/1000)</f>
        <v>16.950000000000003</v>
      </c>
      <c r="AM514" s="948">
        <f t="shared" ref="AM514:AM518" si="1318">(F514/2)+(20*P514/1000)+(6*2*P514/1000)</f>
        <v>32.608000000000004</v>
      </c>
      <c r="AN514" s="948">
        <f t="shared" ref="AN514:AN518" si="1319">(F514/2)+(20*Q514/1000)+(6*2*Q514/1000)</f>
        <v>32.608000000000004</v>
      </c>
      <c r="AO514" s="948">
        <f t="shared" ref="AO514:AO518" si="1320">(F514/4)+(20*R514/1000)+(10*R514/1000)+(8*R514/1000)+(6*2*R514/1000)</f>
        <v>16.950000000000003</v>
      </c>
      <c r="AP514" s="948">
        <f t="shared" ref="AP514:AP518" si="1321">(F514/4)+(20*S514/1000)+(10*S514/1000)+(8*S514/1000)+(6*2*S514/1000)</f>
        <v>16.950000000000003</v>
      </c>
      <c r="AQ514" s="948">
        <f t="shared" ref="AQ514:AQ518" si="1322">(2*G514)+(2*H514)+(6*T514/1000)-(8*0.03)</f>
        <v>1.708</v>
      </c>
      <c r="AR514" s="948">
        <f t="shared" ref="AR514:AR518" si="1323">((H514)+(2*6*U514/1000)-(2*0.03))*AI514</f>
        <v>0</v>
      </c>
      <c r="AS514" s="948">
        <f t="shared" ref="AS514:AS518" si="1324">((G514)+(2*6*V514/1000)-(2*0.03))*AJ514</f>
        <v>0</v>
      </c>
      <c r="AT514" s="948">
        <f t="shared" ref="AT514:AT518" si="1325">AK514*Z514*E514*D514</f>
        <v>67.800000000000011</v>
      </c>
      <c r="AU514" s="948">
        <f t="shared" ref="AU514:AU518" si="1326">AL514*AA514*E514*D514</f>
        <v>67.800000000000011</v>
      </c>
      <c r="AV514" s="948">
        <f t="shared" ref="AV514:AV518" si="1327">AM514*AB514*E514*D514</f>
        <v>65.216000000000008</v>
      </c>
      <c r="AW514" s="948">
        <f t="shared" ref="AW514:AW518" si="1328">AN514*AC514*E514*D514</f>
        <v>65.216000000000008</v>
      </c>
      <c r="AX514" s="948">
        <f t="shared" ref="AX514:AX518" si="1329">AO514*AD514*E514*D514</f>
        <v>67.800000000000011</v>
      </c>
      <c r="AY514" s="948">
        <f t="shared" ref="AY514:AY518" si="1330">AP514*AE514*E514*D514</f>
        <v>67.800000000000011</v>
      </c>
      <c r="AZ514" s="948">
        <f t="shared" ref="AZ514:AZ518" si="1331">AQ514*(AF514+AG514+AH514)*E514*D514</f>
        <v>961.60399999999993</v>
      </c>
      <c r="BA514" s="948">
        <f t="shared" ref="BA514:BA518" si="1332">AR514*(AF514+AG514+AH514)*E514*D514</f>
        <v>0</v>
      </c>
      <c r="BB514" s="948">
        <f t="shared" ref="BB514:BB518" si="1333">AS514*(AF514+AG514+AH514)*E514*D514</f>
        <v>0</v>
      </c>
      <c r="BC514" s="957">
        <f t="shared" ref="BC514:BK518" si="1334">N514*N514*0.074/12</f>
        <v>2.2261666666666664</v>
      </c>
      <c r="BD514" s="957">
        <f t="shared" si="1334"/>
        <v>2.2261666666666664</v>
      </c>
      <c r="BE514" s="957">
        <f t="shared" si="1334"/>
        <v>2.2261666666666664</v>
      </c>
      <c r="BF514" s="957">
        <f t="shared" si="1334"/>
        <v>2.2261666666666664</v>
      </c>
      <c r="BG514" s="957">
        <f t="shared" si="1334"/>
        <v>2.2261666666666664</v>
      </c>
      <c r="BH514" s="957">
        <f t="shared" si="1334"/>
        <v>2.2261666666666664</v>
      </c>
      <c r="BI514" s="957">
        <f t="shared" si="1334"/>
        <v>0.39466666666666667</v>
      </c>
      <c r="BJ514" s="957">
        <f t="shared" si="1334"/>
        <v>0</v>
      </c>
      <c r="BK514" s="957">
        <f t="shared" si="1334"/>
        <v>0</v>
      </c>
      <c r="BL514" s="948">
        <f t="shared" ref="BL514:BR518" si="1335">AT514*BC514</f>
        <v>150.9341</v>
      </c>
      <c r="BM514" s="948">
        <f t="shared" si="1335"/>
        <v>150.9341</v>
      </c>
      <c r="BN514" s="948">
        <f t="shared" si="1335"/>
        <v>145.18168533333335</v>
      </c>
      <c r="BO514" s="948">
        <f t="shared" si="1335"/>
        <v>145.18168533333335</v>
      </c>
      <c r="BP514" s="948">
        <f t="shared" si="1335"/>
        <v>150.9341</v>
      </c>
      <c r="BQ514" s="948">
        <f t="shared" si="1335"/>
        <v>150.9341</v>
      </c>
      <c r="BR514" s="948">
        <f t="shared" si="1335"/>
        <v>379.51304533333331</v>
      </c>
      <c r="BS514" s="948">
        <f>BB514*BK514</f>
        <v>0</v>
      </c>
      <c r="BT514" s="955">
        <f>SUM(BL514:BS514)/K514</f>
        <v>125.15849213836478</v>
      </c>
    </row>
    <row r="515" spans="1:72">
      <c r="A515" s="952">
        <v>2</v>
      </c>
      <c r="B515" s="952" t="s">
        <v>1162</v>
      </c>
      <c r="C515" s="950" t="s">
        <v>1163</v>
      </c>
      <c r="D515" s="950">
        <v>1</v>
      </c>
      <c r="E515" s="950">
        <v>1</v>
      </c>
      <c r="F515" s="948">
        <v>64</v>
      </c>
      <c r="G515" s="948">
        <v>0.25</v>
      </c>
      <c r="H515" s="948">
        <v>0.6</v>
      </c>
      <c r="I515" s="948">
        <v>0.12</v>
      </c>
      <c r="J515" s="948">
        <f>H515-I515</f>
        <v>0.48</v>
      </c>
      <c r="K515" s="948">
        <f>F515*G515*J515*D515*E515</f>
        <v>7.68</v>
      </c>
      <c r="L515" s="948">
        <f>(2*J515)*F515*E515*D515</f>
        <v>61.44</v>
      </c>
      <c r="M515" s="952"/>
      <c r="N515" s="950">
        <v>16</v>
      </c>
      <c r="O515" s="950">
        <v>16</v>
      </c>
      <c r="P515" s="950">
        <v>16</v>
      </c>
      <c r="Q515" s="950">
        <v>16</v>
      </c>
      <c r="R515" s="950">
        <v>16</v>
      </c>
      <c r="S515" s="950">
        <v>16</v>
      </c>
      <c r="T515" s="950">
        <v>8</v>
      </c>
      <c r="U515" s="950"/>
      <c r="V515" s="950"/>
      <c r="W515" s="950">
        <v>200</v>
      </c>
      <c r="X515" s="950">
        <v>100</v>
      </c>
      <c r="Y515" s="950">
        <v>100</v>
      </c>
      <c r="Z515" s="950">
        <v>4</v>
      </c>
      <c r="AA515" s="950">
        <v>4</v>
      </c>
      <c r="AB515" s="950">
        <v>2</v>
      </c>
      <c r="AC515" s="950">
        <v>2</v>
      </c>
      <c r="AD515" s="950">
        <v>4</v>
      </c>
      <c r="AE515" s="950">
        <v>4</v>
      </c>
      <c r="AF515" s="955">
        <f t="shared" si="1313"/>
        <v>81</v>
      </c>
      <c r="AG515" s="955">
        <f t="shared" si="1314"/>
        <v>321</v>
      </c>
      <c r="AH515" s="955">
        <f t="shared" si="1315"/>
        <v>161</v>
      </c>
      <c r="AI515" s="955">
        <v>0</v>
      </c>
      <c r="AJ515" s="955">
        <v>0</v>
      </c>
      <c r="AK515" s="948">
        <f t="shared" si="1316"/>
        <v>16.8</v>
      </c>
      <c r="AL515" s="948">
        <f t="shared" si="1317"/>
        <v>16.8</v>
      </c>
      <c r="AM515" s="948">
        <f t="shared" si="1318"/>
        <v>32.512</v>
      </c>
      <c r="AN515" s="948">
        <f t="shared" si="1319"/>
        <v>32.512</v>
      </c>
      <c r="AO515" s="948">
        <f t="shared" si="1320"/>
        <v>16.8</v>
      </c>
      <c r="AP515" s="948">
        <f t="shared" si="1321"/>
        <v>16.8</v>
      </c>
      <c r="AQ515" s="948">
        <f t="shared" si="1322"/>
        <v>1.508</v>
      </c>
      <c r="AR515" s="948">
        <f t="shared" si="1323"/>
        <v>0</v>
      </c>
      <c r="AS515" s="948">
        <f t="shared" si="1324"/>
        <v>0</v>
      </c>
      <c r="AT515" s="948">
        <f t="shared" si="1325"/>
        <v>67.2</v>
      </c>
      <c r="AU515" s="948">
        <f t="shared" si="1326"/>
        <v>67.2</v>
      </c>
      <c r="AV515" s="948">
        <f t="shared" si="1327"/>
        <v>65.024000000000001</v>
      </c>
      <c r="AW515" s="948">
        <f t="shared" si="1328"/>
        <v>65.024000000000001</v>
      </c>
      <c r="AX515" s="948">
        <f t="shared" si="1329"/>
        <v>67.2</v>
      </c>
      <c r="AY515" s="948">
        <f t="shared" si="1330"/>
        <v>67.2</v>
      </c>
      <c r="AZ515" s="948">
        <f t="shared" si="1331"/>
        <v>849.00400000000002</v>
      </c>
      <c r="BA515" s="948">
        <f t="shared" si="1332"/>
        <v>0</v>
      </c>
      <c r="BB515" s="948">
        <f t="shared" si="1333"/>
        <v>0</v>
      </c>
      <c r="BC515" s="957">
        <f t="shared" si="1334"/>
        <v>1.5786666666666667</v>
      </c>
      <c r="BD515" s="957">
        <f t="shared" si="1334"/>
        <v>1.5786666666666667</v>
      </c>
      <c r="BE515" s="957">
        <f t="shared" si="1334"/>
        <v>1.5786666666666667</v>
      </c>
      <c r="BF515" s="957">
        <f t="shared" si="1334"/>
        <v>1.5786666666666667</v>
      </c>
      <c r="BG515" s="957">
        <f t="shared" si="1334"/>
        <v>1.5786666666666667</v>
      </c>
      <c r="BH515" s="957">
        <f t="shared" si="1334"/>
        <v>1.5786666666666667</v>
      </c>
      <c r="BI515" s="957">
        <f t="shared" si="1334"/>
        <v>0.39466666666666667</v>
      </c>
      <c r="BJ515" s="957">
        <f t="shared" si="1334"/>
        <v>0</v>
      </c>
      <c r="BK515" s="957">
        <f t="shared" si="1334"/>
        <v>0</v>
      </c>
      <c r="BL515" s="948">
        <f t="shared" si="1335"/>
        <v>106.0864</v>
      </c>
      <c r="BM515" s="948">
        <f t="shared" si="1335"/>
        <v>106.0864</v>
      </c>
      <c r="BN515" s="948">
        <f t="shared" si="1335"/>
        <v>102.65122133333334</v>
      </c>
      <c r="BO515" s="948">
        <f t="shared" si="1335"/>
        <v>102.65122133333334</v>
      </c>
      <c r="BP515" s="948">
        <f t="shared" si="1335"/>
        <v>106.0864</v>
      </c>
      <c r="BQ515" s="948">
        <f t="shared" si="1335"/>
        <v>106.0864</v>
      </c>
      <c r="BR515" s="948">
        <f t="shared" si="1335"/>
        <v>335.07357866666666</v>
      </c>
      <c r="BS515" s="948">
        <f>BB515*BK515</f>
        <v>0</v>
      </c>
      <c r="BT515" s="955">
        <f>SUM(BL515:BS515)/K515</f>
        <v>125.61479444444446</v>
      </c>
    </row>
    <row r="516" spans="1:72">
      <c r="A516" s="952">
        <v>3</v>
      </c>
      <c r="B516" s="952" t="s">
        <v>1092</v>
      </c>
      <c r="C516" s="950" t="s">
        <v>1093</v>
      </c>
      <c r="D516" s="950">
        <v>1</v>
      </c>
      <c r="E516" s="950">
        <v>1</v>
      </c>
      <c r="F516" s="948">
        <v>80</v>
      </c>
      <c r="G516" s="948">
        <v>0.25</v>
      </c>
      <c r="H516" s="948">
        <v>0.6</v>
      </c>
      <c r="I516" s="948">
        <v>0.12</v>
      </c>
      <c r="J516" s="948">
        <f>H516-I516</f>
        <v>0.48</v>
      </c>
      <c r="K516" s="948">
        <f>F516*G516*J516*D516*E516</f>
        <v>9.6</v>
      </c>
      <c r="L516" s="948">
        <f>(2*J516)*F516*E516*D516</f>
        <v>76.8</v>
      </c>
      <c r="M516" s="952"/>
      <c r="N516" s="950">
        <v>16</v>
      </c>
      <c r="O516" s="950">
        <v>16</v>
      </c>
      <c r="P516" s="950">
        <v>16</v>
      </c>
      <c r="Q516" s="950">
        <v>16</v>
      </c>
      <c r="R516" s="950">
        <v>16</v>
      </c>
      <c r="S516" s="950">
        <v>16</v>
      </c>
      <c r="T516" s="950">
        <v>8</v>
      </c>
      <c r="U516" s="950"/>
      <c r="V516" s="950"/>
      <c r="W516" s="950">
        <v>200</v>
      </c>
      <c r="X516" s="950">
        <v>100</v>
      </c>
      <c r="Y516" s="950">
        <v>100</v>
      </c>
      <c r="Z516" s="950">
        <v>9</v>
      </c>
      <c r="AA516" s="950">
        <v>6</v>
      </c>
      <c r="AB516" s="950">
        <v>4</v>
      </c>
      <c r="AC516" s="950">
        <v>4</v>
      </c>
      <c r="AD516" s="950">
        <v>9</v>
      </c>
      <c r="AE516" s="950">
        <v>6</v>
      </c>
      <c r="AF516" s="955">
        <f t="shared" si="1313"/>
        <v>101</v>
      </c>
      <c r="AG516" s="955">
        <f t="shared" si="1314"/>
        <v>401</v>
      </c>
      <c r="AH516" s="955">
        <f t="shared" si="1315"/>
        <v>201</v>
      </c>
      <c r="AI516" s="955">
        <v>0</v>
      </c>
      <c r="AJ516" s="955">
        <v>0</v>
      </c>
      <c r="AK516" s="948">
        <f t="shared" si="1316"/>
        <v>20.8</v>
      </c>
      <c r="AL516" s="948">
        <f t="shared" si="1317"/>
        <v>20.8</v>
      </c>
      <c r="AM516" s="948">
        <f t="shared" si="1318"/>
        <v>40.512</v>
      </c>
      <c r="AN516" s="948">
        <f t="shared" si="1319"/>
        <v>40.512</v>
      </c>
      <c r="AO516" s="948">
        <f t="shared" si="1320"/>
        <v>20.8</v>
      </c>
      <c r="AP516" s="948">
        <f t="shared" si="1321"/>
        <v>20.8</v>
      </c>
      <c r="AQ516" s="948">
        <f t="shared" si="1322"/>
        <v>1.508</v>
      </c>
      <c r="AR516" s="948">
        <f t="shared" si="1323"/>
        <v>0</v>
      </c>
      <c r="AS516" s="948">
        <f t="shared" si="1324"/>
        <v>0</v>
      </c>
      <c r="AT516" s="948">
        <f t="shared" si="1325"/>
        <v>187.20000000000002</v>
      </c>
      <c r="AU516" s="948">
        <f t="shared" si="1326"/>
        <v>124.80000000000001</v>
      </c>
      <c r="AV516" s="948">
        <f t="shared" si="1327"/>
        <v>162.048</v>
      </c>
      <c r="AW516" s="948">
        <f t="shared" si="1328"/>
        <v>162.048</v>
      </c>
      <c r="AX516" s="948">
        <f t="shared" si="1329"/>
        <v>187.20000000000002</v>
      </c>
      <c r="AY516" s="948">
        <f t="shared" si="1330"/>
        <v>124.80000000000001</v>
      </c>
      <c r="AZ516" s="948">
        <f t="shared" si="1331"/>
        <v>1060.124</v>
      </c>
      <c r="BA516" s="948">
        <f t="shared" si="1332"/>
        <v>0</v>
      </c>
      <c r="BB516" s="948">
        <f t="shared" si="1333"/>
        <v>0</v>
      </c>
      <c r="BC516" s="957">
        <f t="shared" si="1334"/>
        <v>1.5786666666666667</v>
      </c>
      <c r="BD516" s="957">
        <f t="shared" si="1334"/>
        <v>1.5786666666666667</v>
      </c>
      <c r="BE516" s="957">
        <f t="shared" si="1334"/>
        <v>1.5786666666666667</v>
      </c>
      <c r="BF516" s="957">
        <f t="shared" si="1334"/>
        <v>1.5786666666666667</v>
      </c>
      <c r="BG516" s="957">
        <f t="shared" si="1334"/>
        <v>1.5786666666666667</v>
      </c>
      <c r="BH516" s="957">
        <f t="shared" si="1334"/>
        <v>1.5786666666666667</v>
      </c>
      <c r="BI516" s="957">
        <f t="shared" si="1334"/>
        <v>0.39466666666666667</v>
      </c>
      <c r="BJ516" s="957">
        <f t="shared" si="1334"/>
        <v>0</v>
      </c>
      <c r="BK516" s="957">
        <f t="shared" si="1334"/>
        <v>0</v>
      </c>
      <c r="BL516" s="948">
        <f t="shared" si="1335"/>
        <v>295.52640000000002</v>
      </c>
      <c r="BM516" s="948">
        <f t="shared" si="1335"/>
        <v>197.01760000000002</v>
      </c>
      <c r="BN516" s="948">
        <f t="shared" si="1335"/>
        <v>255.81977599999999</v>
      </c>
      <c r="BO516" s="948">
        <f t="shared" si="1335"/>
        <v>255.81977599999999</v>
      </c>
      <c r="BP516" s="948">
        <f t="shared" si="1335"/>
        <v>295.52640000000002</v>
      </c>
      <c r="BQ516" s="948">
        <f t="shared" si="1335"/>
        <v>197.01760000000002</v>
      </c>
      <c r="BR516" s="948">
        <f t="shared" si="1335"/>
        <v>418.39560533333332</v>
      </c>
      <c r="BS516" s="948">
        <f>BB516*BK516</f>
        <v>0</v>
      </c>
      <c r="BT516" s="955">
        <f>SUM(BL516:BS516)/K516</f>
        <v>199.49199555555555</v>
      </c>
    </row>
    <row r="517" spans="1:72">
      <c r="A517" s="952">
        <v>4</v>
      </c>
      <c r="B517" s="952" t="s">
        <v>1164</v>
      </c>
      <c r="C517" s="950" t="s">
        <v>1165</v>
      </c>
      <c r="D517" s="950">
        <v>1</v>
      </c>
      <c r="E517" s="950">
        <v>1</v>
      </c>
      <c r="F517" s="948">
        <v>80</v>
      </c>
      <c r="G517" s="948">
        <v>0.3</v>
      </c>
      <c r="H517" s="948">
        <v>0.65</v>
      </c>
      <c r="I517" s="948">
        <v>0.12</v>
      </c>
      <c r="J517" s="948">
        <f>H517-I517</f>
        <v>0.53</v>
      </c>
      <c r="K517" s="948">
        <f>F517*G517*J517*D517*E517</f>
        <v>12.72</v>
      </c>
      <c r="L517" s="948">
        <f>(2*J517)*F517*E517*D517</f>
        <v>84.800000000000011</v>
      </c>
      <c r="M517" s="952"/>
      <c r="N517" s="950">
        <v>16</v>
      </c>
      <c r="O517" s="950">
        <v>16</v>
      </c>
      <c r="P517" s="950">
        <v>16</v>
      </c>
      <c r="Q517" s="950">
        <v>16</v>
      </c>
      <c r="R517" s="950">
        <v>16</v>
      </c>
      <c r="S517" s="950">
        <v>16</v>
      </c>
      <c r="T517" s="950">
        <v>8</v>
      </c>
      <c r="U517" s="950"/>
      <c r="V517" s="950"/>
      <c r="W517" s="950">
        <v>200</v>
      </c>
      <c r="X517" s="950">
        <v>100</v>
      </c>
      <c r="Y517" s="950">
        <v>100</v>
      </c>
      <c r="Z517" s="950">
        <v>4</v>
      </c>
      <c r="AA517" s="950">
        <v>4</v>
      </c>
      <c r="AB517" s="950">
        <v>2</v>
      </c>
      <c r="AC517" s="950">
        <v>2</v>
      </c>
      <c r="AD517" s="950">
        <v>4</v>
      </c>
      <c r="AE517" s="950">
        <v>4</v>
      </c>
      <c r="AF517" s="955">
        <f t="shared" si="1313"/>
        <v>101</v>
      </c>
      <c r="AG517" s="955">
        <f t="shared" si="1314"/>
        <v>401</v>
      </c>
      <c r="AH517" s="955">
        <f t="shared" si="1315"/>
        <v>201</v>
      </c>
      <c r="AI517" s="955">
        <v>0</v>
      </c>
      <c r="AJ517" s="955">
        <v>0</v>
      </c>
      <c r="AK517" s="948">
        <f t="shared" si="1316"/>
        <v>20.8</v>
      </c>
      <c r="AL517" s="948">
        <f t="shared" si="1317"/>
        <v>20.8</v>
      </c>
      <c r="AM517" s="948">
        <f t="shared" si="1318"/>
        <v>40.512</v>
      </c>
      <c r="AN517" s="948">
        <f t="shared" si="1319"/>
        <v>40.512</v>
      </c>
      <c r="AO517" s="948">
        <f t="shared" si="1320"/>
        <v>20.8</v>
      </c>
      <c r="AP517" s="948">
        <f t="shared" si="1321"/>
        <v>20.8</v>
      </c>
      <c r="AQ517" s="948">
        <f t="shared" si="1322"/>
        <v>1.708</v>
      </c>
      <c r="AR517" s="948">
        <f t="shared" si="1323"/>
        <v>0</v>
      </c>
      <c r="AS517" s="948">
        <f t="shared" si="1324"/>
        <v>0</v>
      </c>
      <c r="AT517" s="948">
        <f t="shared" si="1325"/>
        <v>83.2</v>
      </c>
      <c r="AU517" s="948">
        <f t="shared" si="1326"/>
        <v>83.2</v>
      </c>
      <c r="AV517" s="948">
        <f t="shared" si="1327"/>
        <v>81.024000000000001</v>
      </c>
      <c r="AW517" s="948">
        <f t="shared" si="1328"/>
        <v>81.024000000000001</v>
      </c>
      <c r="AX517" s="948">
        <f t="shared" si="1329"/>
        <v>83.2</v>
      </c>
      <c r="AY517" s="948">
        <f t="shared" si="1330"/>
        <v>83.2</v>
      </c>
      <c r="AZ517" s="948">
        <f t="shared" si="1331"/>
        <v>1200.7239999999999</v>
      </c>
      <c r="BA517" s="948">
        <f t="shared" si="1332"/>
        <v>0</v>
      </c>
      <c r="BB517" s="948">
        <f t="shared" si="1333"/>
        <v>0</v>
      </c>
      <c r="BC517" s="957">
        <f t="shared" si="1334"/>
        <v>1.5786666666666667</v>
      </c>
      <c r="BD517" s="957">
        <f t="shared" si="1334"/>
        <v>1.5786666666666667</v>
      </c>
      <c r="BE517" s="957">
        <f t="shared" si="1334"/>
        <v>1.5786666666666667</v>
      </c>
      <c r="BF517" s="957">
        <f t="shared" si="1334"/>
        <v>1.5786666666666667</v>
      </c>
      <c r="BG517" s="957">
        <f t="shared" si="1334"/>
        <v>1.5786666666666667</v>
      </c>
      <c r="BH517" s="957">
        <f t="shared" si="1334"/>
        <v>1.5786666666666667</v>
      </c>
      <c r="BI517" s="957">
        <f t="shared" si="1334"/>
        <v>0.39466666666666667</v>
      </c>
      <c r="BJ517" s="957">
        <f t="shared" si="1334"/>
        <v>0</v>
      </c>
      <c r="BK517" s="957">
        <f t="shared" si="1334"/>
        <v>0</v>
      </c>
      <c r="BL517" s="948">
        <f t="shared" si="1335"/>
        <v>131.34506666666667</v>
      </c>
      <c r="BM517" s="948">
        <f t="shared" si="1335"/>
        <v>131.34506666666667</v>
      </c>
      <c r="BN517" s="948">
        <f t="shared" si="1335"/>
        <v>127.909888</v>
      </c>
      <c r="BO517" s="948">
        <f t="shared" si="1335"/>
        <v>127.909888</v>
      </c>
      <c r="BP517" s="948">
        <f t="shared" si="1335"/>
        <v>131.34506666666667</v>
      </c>
      <c r="BQ517" s="948">
        <f t="shared" si="1335"/>
        <v>131.34506666666667</v>
      </c>
      <c r="BR517" s="948">
        <f t="shared" si="1335"/>
        <v>473.88573866666661</v>
      </c>
      <c r="BS517" s="948">
        <f>BB517*BK517</f>
        <v>0</v>
      </c>
      <c r="BT517" s="955">
        <f>SUM(BL517:BS517)/K517</f>
        <v>98.670265828092226</v>
      </c>
    </row>
    <row r="518" spans="1:72">
      <c r="A518" s="952">
        <v>5</v>
      </c>
      <c r="B518" s="952" t="s">
        <v>1166</v>
      </c>
      <c r="C518" s="950" t="s">
        <v>1103</v>
      </c>
      <c r="D518" s="950">
        <v>1</v>
      </c>
      <c r="E518" s="950">
        <v>1</v>
      </c>
      <c r="F518" s="948">
        <v>10</v>
      </c>
      <c r="G518" s="948">
        <v>0.25</v>
      </c>
      <c r="H518" s="948">
        <v>0.6</v>
      </c>
      <c r="I518" s="948">
        <v>0.12</v>
      </c>
      <c r="J518" s="948">
        <f t="shared" ref="J518" si="1336">H518-I518</f>
        <v>0.48</v>
      </c>
      <c r="K518" s="948">
        <f t="shared" ref="K518" si="1337">F518*G518*J518*D518*E518</f>
        <v>1.2</v>
      </c>
      <c r="L518" s="948">
        <f t="shared" ref="L518" si="1338">(2*J518)*F518*E518*D518+(D518*E518*F518*G518)</f>
        <v>12.1</v>
      </c>
      <c r="M518" s="952"/>
      <c r="N518" s="950">
        <v>16</v>
      </c>
      <c r="O518" s="950">
        <v>16</v>
      </c>
      <c r="P518" s="950">
        <v>16</v>
      </c>
      <c r="Q518" s="950">
        <v>16</v>
      </c>
      <c r="R518" s="950">
        <v>16</v>
      </c>
      <c r="S518" s="950">
        <v>16</v>
      </c>
      <c r="T518" s="950">
        <v>8</v>
      </c>
      <c r="U518" s="950"/>
      <c r="V518" s="950"/>
      <c r="W518" s="950">
        <v>200</v>
      </c>
      <c r="X518" s="950">
        <v>100</v>
      </c>
      <c r="Y518" s="950">
        <v>100</v>
      </c>
      <c r="Z518" s="950">
        <v>4</v>
      </c>
      <c r="AA518" s="950">
        <v>4</v>
      </c>
      <c r="AB518" s="950">
        <v>2</v>
      </c>
      <c r="AC518" s="950">
        <v>2</v>
      </c>
      <c r="AD518" s="950">
        <v>4</v>
      </c>
      <c r="AE518" s="950">
        <v>4</v>
      </c>
      <c r="AF518" s="955">
        <f t="shared" si="1313"/>
        <v>13.5</v>
      </c>
      <c r="AG518" s="955">
        <f t="shared" si="1314"/>
        <v>51</v>
      </c>
      <c r="AH518" s="955">
        <f t="shared" si="1315"/>
        <v>26</v>
      </c>
      <c r="AI518" s="955">
        <v>0</v>
      </c>
      <c r="AJ518" s="955">
        <v>0</v>
      </c>
      <c r="AK518" s="948">
        <f t="shared" si="1316"/>
        <v>3.3000000000000003</v>
      </c>
      <c r="AL518" s="948">
        <f t="shared" si="1317"/>
        <v>3.3000000000000003</v>
      </c>
      <c r="AM518" s="948">
        <f t="shared" si="1318"/>
        <v>5.5120000000000005</v>
      </c>
      <c r="AN518" s="948">
        <f t="shared" si="1319"/>
        <v>5.5120000000000005</v>
      </c>
      <c r="AO518" s="948">
        <f t="shared" si="1320"/>
        <v>3.3000000000000003</v>
      </c>
      <c r="AP518" s="948">
        <f t="shared" si="1321"/>
        <v>3.3000000000000003</v>
      </c>
      <c r="AQ518" s="948">
        <f t="shared" si="1322"/>
        <v>1.508</v>
      </c>
      <c r="AR518" s="948">
        <f t="shared" si="1323"/>
        <v>0</v>
      </c>
      <c r="AS518" s="948">
        <f t="shared" si="1324"/>
        <v>0</v>
      </c>
      <c r="AT518" s="948">
        <f t="shared" si="1325"/>
        <v>13.200000000000001</v>
      </c>
      <c r="AU518" s="948">
        <f t="shared" si="1326"/>
        <v>13.200000000000001</v>
      </c>
      <c r="AV518" s="948">
        <f t="shared" si="1327"/>
        <v>11.024000000000001</v>
      </c>
      <c r="AW518" s="948">
        <f t="shared" si="1328"/>
        <v>11.024000000000001</v>
      </c>
      <c r="AX518" s="948">
        <f t="shared" si="1329"/>
        <v>13.200000000000001</v>
      </c>
      <c r="AY518" s="948">
        <f t="shared" si="1330"/>
        <v>13.200000000000001</v>
      </c>
      <c r="AZ518" s="948">
        <f t="shared" si="1331"/>
        <v>136.47399999999999</v>
      </c>
      <c r="BA518" s="948">
        <f t="shared" si="1332"/>
        <v>0</v>
      </c>
      <c r="BB518" s="948">
        <f t="shared" si="1333"/>
        <v>0</v>
      </c>
      <c r="BC518" s="957">
        <f t="shared" si="1334"/>
        <v>1.5786666666666667</v>
      </c>
      <c r="BD518" s="957">
        <f t="shared" si="1334"/>
        <v>1.5786666666666667</v>
      </c>
      <c r="BE518" s="957">
        <f t="shared" si="1334"/>
        <v>1.5786666666666667</v>
      </c>
      <c r="BF518" s="957">
        <f t="shared" si="1334"/>
        <v>1.5786666666666667</v>
      </c>
      <c r="BG518" s="957">
        <f t="shared" si="1334"/>
        <v>1.5786666666666667</v>
      </c>
      <c r="BH518" s="957">
        <f t="shared" si="1334"/>
        <v>1.5786666666666667</v>
      </c>
      <c r="BI518" s="957">
        <f t="shared" si="1334"/>
        <v>0.39466666666666667</v>
      </c>
      <c r="BJ518" s="957">
        <f t="shared" si="1334"/>
        <v>0</v>
      </c>
      <c r="BK518" s="957">
        <f t="shared" si="1334"/>
        <v>0</v>
      </c>
      <c r="BL518" s="948">
        <f t="shared" si="1335"/>
        <v>20.8384</v>
      </c>
      <c r="BM518" s="948">
        <f t="shared" si="1335"/>
        <v>20.8384</v>
      </c>
      <c r="BN518" s="948">
        <f t="shared" si="1335"/>
        <v>17.403221333333335</v>
      </c>
      <c r="BO518" s="948">
        <f t="shared" si="1335"/>
        <v>17.403221333333335</v>
      </c>
      <c r="BP518" s="948">
        <f t="shared" si="1335"/>
        <v>20.8384</v>
      </c>
      <c r="BQ518" s="948">
        <f t="shared" si="1335"/>
        <v>20.8384</v>
      </c>
      <c r="BR518" s="948">
        <f t="shared" si="1335"/>
        <v>53.86173866666666</v>
      </c>
      <c r="BS518" s="948">
        <f>BB518*BK518</f>
        <v>0</v>
      </c>
      <c r="BT518" s="955">
        <f>SUM(BL518:BS518)/K518</f>
        <v>143.35148444444445</v>
      </c>
    </row>
    <row r="519" spans="1:72">
      <c r="A519" s="952"/>
      <c r="B519" s="952"/>
      <c r="C519" s="950"/>
      <c r="D519" s="950"/>
      <c r="E519" s="950"/>
      <c r="F519" s="948"/>
      <c r="G519" s="948"/>
      <c r="H519" s="948"/>
      <c r="I519" s="948"/>
      <c r="J519" s="948"/>
      <c r="K519" s="948"/>
      <c r="L519" s="948"/>
      <c r="M519" s="952"/>
      <c r="N519" s="948"/>
      <c r="O519" s="950"/>
      <c r="P519" s="950"/>
      <c r="Q519" s="950"/>
      <c r="R519" s="950"/>
      <c r="S519" s="950"/>
      <c r="T519" s="950"/>
      <c r="U519" s="950"/>
      <c r="V519" s="950"/>
      <c r="W519" s="950"/>
      <c r="X519" s="950"/>
      <c r="Y519" s="950"/>
      <c r="Z519" s="950"/>
      <c r="AA519" s="950"/>
      <c r="AB519" s="950"/>
      <c r="AC519" s="950"/>
      <c r="AD519" s="950"/>
      <c r="AE519" s="950"/>
      <c r="AF519" s="955"/>
      <c r="AG519" s="955"/>
      <c r="AH519" s="955"/>
      <c r="AI519" s="955"/>
      <c r="AJ519" s="955"/>
      <c r="AK519" s="948"/>
      <c r="AL519" s="948"/>
      <c r="AM519" s="948"/>
      <c r="AN519" s="948"/>
      <c r="AO519" s="948"/>
      <c r="AP519" s="948"/>
      <c r="AQ519" s="948"/>
      <c r="AR519" s="948"/>
      <c r="AS519" s="948"/>
      <c r="AT519" s="948"/>
      <c r="AU519" s="948"/>
      <c r="AV519" s="948"/>
      <c r="AW519" s="948"/>
      <c r="AX519" s="948"/>
      <c r="AY519" s="948"/>
      <c r="AZ519" s="948"/>
      <c r="BA519" s="948"/>
      <c r="BB519" s="948"/>
      <c r="BC519" s="957"/>
      <c r="BD519" s="957"/>
      <c r="BE519" s="957"/>
      <c r="BF519" s="957"/>
      <c r="BG519" s="957"/>
      <c r="BH519" s="957"/>
      <c r="BI519" s="957"/>
      <c r="BJ519" s="957"/>
      <c r="BK519" s="957"/>
      <c r="BL519" s="948"/>
      <c r="BM519" s="948"/>
      <c r="BN519" s="948"/>
      <c r="BO519" s="948"/>
      <c r="BP519" s="948"/>
      <c r="BQ519" s="948"/>
      <c r="BR519" s="948"/>
      <c r="BS519" s="948"/>
      <c r="BT519" s="955"/>
    </row>
    <row r="520" spans="1:72">
      <c r="A520" s="960" t="s">
        <v>8</v>
      </c>
      <c r="B520" s="960" t="s">
        <v>1104</v>
      </c>
      <c r="C520" s="950"/>
      <c r="D520" s="950"/>
      <c r="E520" s="950"/>
      <c r="F520" s="948"/>
      <c r="G520" s="948"/>
      <c r="H520" s="948"/>
      <c r="I520" s="948"/>
      <c r="J520" s="948"/>
      <c r="K520" s="948"/>
      <c r="L520" s="948"/>
      <c r="M520" s="952"/>
      <c r="N520" s="959" t="str">
        <f>A520</f>
        <v>B</v>
      </c>
      <c r="O520" s="959" t="str">
        <f>B520</f>
        <v>Horizontal</v>
      </c>
      <c r="P520" s="950"/>
      <c r="Q520" s="950"/>
      <c r="R520" s="950"/>
      <c r="S520" s="950"/>
      <c r="T520" s="950"/>
      <c r="U520" s="950"/>
      <c r="V520" s="950"/>
      <c r="W520" s="950"/>
      <c r="X520" s="950"/>
      <c r="Y520" s="950"/>
      <c r="Z520" s="950"/>
      <c r="AA520" s="950"/>
      <c r="AB520" s="950"/>
      <c r="AC520" s="950"/>
      <c r="AD520" s="950"/>
      <c r="AE520" s="950"/>
      <c r="AF520" s="955"/>
      <c r="AG520" s="955"/>
      <c r="AH520" s="955"/>
      <c r="AI520" s="955"/>
      <c r="AJ520" s="955"/>
      <c r="AK520" s="948"/>
      <c r="AL520" s="948"/>
      <c r="AM520" s="948"/>
      <c r="AN520" s="948"/>
      <c r="AO520" s="948"/>
      <c r="AP520" s="948"/>
      <c r="AQ520" s="948"/>
      <c r="AR520" s="948"/>
      <c r="AS520" s="948"/>
      <c r="AT520" s="948"/>
      <c r="AU520" s="948"/>
      <c r="AV520" s="948"/>
      <c r="AW520" s="948"/>
      <c r="AX520" s="948"/>
      <c r="AY520" s="948"/>
      <c r="AZ520" s="948"/>
      <c r="BA520" s="948"/>
      <c r="BB520" s="948"/>
      <c r="BC520" s="957"/>
      <c r="BD520" s="957"/>
      <c r="BE520" s="957"/>
      <c r="BF520" s="957"/>
      <c r="BG520" s="957"/>
      <c r="BH520" s="957"/>
      <c r="BI520" s="957"/>
      <c r="BJ520" s="957"/>
      <c r="BK520" s="957"/>
      <c r="BL520" s="948"/>
      <c r="BM520" s="948"/>
      <c r="BN520" s="948"/>
      <c r="BO520" s="948"/>
      <c r="BP520" s="948"/>
      <c r="BQ520" s="948"/>
      <c r="BR520" s="948"/>
      <c r="BS520" s="948"/>
      <c r="BT520" s="955"/>
    </row>
    <row r="521" spans="1:72">
      <c r="A521" s="952">
        <v>1</v>
      </c>
      <c r="B521" s="952" t="s">
        <v>1167</v>
      </c>
      <c r="C521" s="950" t="s">
        <v>1168</v>
      </c>
      <c r="D521" s="950">
        <v>1</v>
      </c>
      <c r="E521" s="950">
        <v>1</v>
      </c>
      <c r="F521" s="948">
        <v>8</v>
      </c>
      <c r="G521" s="948">
        <v>0.3</v>
      </c>
      <c r="H521" s="948">
        <v>0.7</v>
      </c>
      <c r="I521" s="948">
        <v>0.12</v>
      </c>
      <c r="J521" s="948">
        <f t="shared" ref="J521:J527" si="1339">H521-I521</f>
        <v>0.57999999999999996</v>
      </c>
      <c r="K521" s="948">
        <f>F521*G521*J521*D521*E521</f>
        <v>1.3919999999999999</v>
      </c>
      <c r="L521" s="948">
        <f t="shared" ref="L521" si="1340">(2*J521)*F521*E521*D521+(D521*E521*F521*G521)</f>
        <v>11.68</v>
      </c>
      <c r="M521" s="952"/>
      <c r="N521" s="950">
        <v>16</v>
      </c>
      <c r="O521" s="950">
        <v>16</v>
      </c>
      <c r="P521" s="950">
        <v>16</v>
      </c>
      <c r="Q521" s="950">
        <v>16</v>
      </c>
      <c r="R521" s="950">
        <v>16</v>
      </c>
      <c r="S521" s="950">
        <v>16</v>
      </c>
      <c r="T521" s="950">
        <v>8</v>
      </c>
      <c r="U521" s="950"/>
      <c r="V521" s="950"/>
      <c r="W521" s="950">
        <v>200</v>
      </c>
      <c r="X521" s="950">
        <v>100</v>
      </c>
      <c r="Y521" s="950">
        <v>100</v>
      </c>
      <c r="Z521" s="950">
        <v>4</v>
      </c>
      <c r="AA521" s="950">
        <v>4</v>
      </c>
      <c r="AB521" s="950">
        <v>2</v>
      </c>
      <c r="AC521" s="950">
        <v>2</v>
      </c>
      <c r="AD521" s="950">
        <v>4</v>
      </c>
      <c r="AE521" s="950">
        <v>4</v>
      </c>
      <c r="AF521" s="955">
        <f t="shared" ref="AF521:AF527" si="1341">(F521/4)/(W521/1000)+1</f>
        <v>11</v>
      </c>
      <c r="AG521" s="955">
        <f t="shared" ref="AG521:AG527" si="1342">(F521/2)/(X521/1000)+1</f>
        <v>41</v>
      </c>
      <c r="AH521" s="955">
        <f t="shared" ref="AH521:AH527" si="1343">(F521/4)/(Y521/1000)+1</f>
        <v>21</v>
      </c>
      <c r="AI521" s="955">
        <v>0</v>
      </c>
      <c r="AJ521" s="955">
        <v>0</v>
      </c>
      <c r="AK521" s="948">
        <f t="shared" ref="AK521:AK527" si="1344">(F521/4)+(20*N521/1000)+(10*N521/1000)+(8*N521/1000)+(6*2*N521/1000)</f>
        <v>2.8000000000000003</v>
      </c>
      <c r="AL521" s="948">
        <f t="shared" ref="AL521:AL527" si="1345">(F521/4)+(20*O521/1000)+(10*O521/1000)+(8*O521/1000)+(6*2*O521/1000)</f>
        <v>2.8000000000000003</v>
      </c>
      <c r="AM521" s="948">
        <f t="shared" ref="AM521:AM527" si="1346">(F521/2)+(20*P521/1000)+(6*2*P521/1000)</f>
        <v>4.5120000000000005</v>
      </c>
      <c r="AN521" s="948">
        <f t="shared" ref="AN521:AN527" si="1347">(F521/2)+(20*Q521/1000)+(6*2*Q521/1000)</f>
        <v>4.5120000000000005</v>
      </c>
      <c r="AO521" s="948">
        <f t="shared" ref="AO521:AO527" si="1348">(F521/4)+(20*R521/1000)+(10*R521/1000)+(8*R521/1000)+(6*2*R521/1000)</f>
        <v>2.8000000000000003</v>
      </c>
      <c r="AP521" s="948">
        <f t="shared" ref="AP521:AP527" si="1349">(F521/4)+(20*S521/1000)+(10*S521/1000)+(8*S521/1000)+(6*2*S521/1000)</f>
        <v>2.8000000000000003</v>
      </c>
      <c r="AQ521" s="948">
        <f t="shared" ref="AQ521:AQ527" si="1350">(2*G521)+(2*H521)+(6*T521/1000)-(8*0.03)</f>
        <v>1.8080000000000001</v>
      </c>
      <c r="AR521" s="948">
        <f t="shared" ref="AR521:AR527" si="1351">((H521)+(2*6*U521/1000)-(2*0.03))*AI521</f>
        <v>0</v>
      </c>
      <c r="AS521" s="948">
        <f t="shared" ref="AS521:AS527" si="1352">((G521)+(2*6*V521/1000)-(2*0.03))*AJ521</f>
        <v>0</v>
      </c>
      <c r="AT521" s="948">
        <f t="shared" ref="AT521:AT527" si="1353">AK521*Z521*E521*D521</f>
        <v>11.200000000000001</v>
      </c>
      <c r="AU521" s="948">
        <f t="shared" ref="AU521:AU527" si="1354">AL521*AA521*E521*D521</f>
        <v>11.200000000000001</v>
      </c>
      <c r="AV521" s="948">
        <f t="shared" ref="AV521:AV527" si="1355">AM521*AB521*E521*D521</f>
        <v>9.0240000000000009</v>
      </c>
      <c r="AW521" s="948">
        <f t="shared" ref="AW521:AW527" si="1356">AN521*AC521*E521*D521</f>
        <v>9.0240000000000009</v>
      </c>
      <c r="AX521" s="948">
        <f t="shared" ref="AX521:AX527" si="1357">AO521*AD521*E521*D521</f>
        <v>11.200000000000001</v>
      </c>
      <c r="AY521" s="948">
        <f t="shared" ref="AY521:AY527" si="1358">AP521*AE521*E521*D521</f>
        <v>11.200000000000001</v>
      </c>
      <c r="AZ521" s="948">
        <f t="shared" ref="AZ521:AZ527" si="1359">AQ521*(AF521+AG521+AH521)*E521*D521</f>
        <v>131.98400000000001</v>
      </c>
      <c r="BA521" s="948">
        <f t="shared" ref="BA521:BA527" si="1360">AR521*(AF521+AG521+AH521)*E521*D521</f>
        <v>0</v>
      </c>
      <c r="BB521" s="948">
        <f t="shared" ref="BB521:BB527" si="1361">AS521*(AF521+AG521+AH521)*E521*D521</f>
        <v>0</v>
      </c>
      <c r="BC521" s="957">
        <f t="shared" ref="BC521:BK527" si="1362">N521*N521*0.074/12</f>
        <v>1.5786666666666667</v>
      </c>
      <c r="BD521" s="957">
        <f t="shared" si="1362"/>
        <v>1.5786666666666667</v>
      </c>
      <c r="BE521" s="957">
        <f t="shared" si="1362"/>
        <v>1.5786666666666667</v>
      </c>
      <c r="BF521" s="957">
        <f t="shared" si="1362"/>
        <v>1.5786666666666667</v>
      </c>
      <c r="BG521" s="957">
        <f t="shared" si="1362"/>
        <v>1.5786666666666667</v>
      </c>
      <c r="BH521" s="957">
        <f t="shared" si="1362"/>
        <v>1.5786666666666667</v>
      </c>
      <c r="BI521" s="957">
        <f t="shared" si="1362"/>
        <v>0.39466666666666667</v>
      </c>
      <c r="BJ521" s="957">
        <f t="shared" si="1362"/>
        <v>0</v>
      </c>
      <c r="BK521" s="957">
        <f t="shared" si="1362"/>
        <v>0</v>
      </c>
      <c r="BL521" s="948">
        <f t="shared" ref="BL521:BR527" si="1363">AT521*BC521</f>
        <v>17.68106666666667</v>
      </c>
      <c r="BM521" s="948">
        <f t="shared" si="1363"/>
        <v>17.68106666666667</v>
      </c>
      <c r="BN521" s="948">
        <f t="shared" si="1363"/>
        <v>14.245888000000001</v>
      </c>
      <c r="BO521" s="948">
        <f t="shared" si="1363"/>
        <v>14.245888000000001</v>
      </c>
      <c r="BP521" s="948">
        <f t="shared" si="1363"/>
        <v>17.68106666666667</v>
      </c>
      <c r="BQ521" s="948">
        <f t="shared" si="1363"/>
        <v>17.68106666666667</v>
      </c>
      <c r="BR521" s="948">
        <f t="shared" si="1363"/>
        <v>52.089685333333335</v>
      </c>
      <c r="BS521" s="948">
        <f t="shared" ref="BS521:BS527" si="1364">BB521*BK521</f>
        <v>0</v>
      </c>
      <c r="BT521" s="955">
        <f t="shared" ref="BT521:BT527" si="1365">SUM(BL521:BS521)/K521</f>
        <v>108.69664367816094</v>
      </c>
    </row>
    <row r="522" spans="1:72">
      <c r="A522" s="952">
        <v>2</v>
      </c>
      <c r="B522" s="952" t="s">
        <v>1186</v>
      </c>
      <c r="C522" s="950" t="s">
        <v>1187</v>
      </c>
      <c r="D522" s="950">
        <v>1</v>
      </c>
      <c r="E522" s="950">
        <v>1</v>
      </c>
      <c r="F522" s="948">
        <v>14</v>
      </c>
      <c r="G522" s="948">
        <v>0.3</v>
      </c>
      <c r="H522" s="948">
        <v>0.65</v>
      </c>
      <c r="I522" s="948">
        <v>0.12</v>
      </c>
      <c r="J522" s="948">
        <f t="shared" si="1339"/>
        <v>0.53</v>
      </c>
      <c r="K522" s="948">
        <f t="shared" ref="K522:K527" si="1366">F522*G522*J522*D522*E522</f>
        <v>2.2260000000000004</v>
      </c>
      <c r="L522" s="948">
        <f t="shared" ref="L522:L527" si="1367">(2*J522)*F522*E522*D522</f>
        <v>14.84</v>
      </c>
      <c r="M522" s="952"/>
      <c r="N522" s="950">
        <v>16</v>
      </c>
      <c r="O522" s="950">
        <v>16</v>
      </c>
      <c r="P522" s="950">
        <v>16</v>
      </c>
      <c r="Q522" s="950">
        <v>16</v>
      </c>
      <c r="R522" s="950">
        <v>16</v>
      </c>
      <c r="S522" s="950">
        <v>16</v>
      </c>
      <c r="T522" s="950">
        <v>8</v>
      </c>
      <c r="U522" s="950"/>
      <c r="V522" s="950"/>
      <c r="W522" s="950">
        <v>200</v>
      </c>
      <c r="X522" s="950">
        <v>100</v>
      </c>
      <c r="Y522" s="950">
        <v>100</v>
      </c>
      <c r="Z522" s="950">
        <v>4</v>
      </c>
      <c r="AA522" s="950">
        <v>4</v>
      </c>
      <c r="AB522" s="950">
        <v>2</v>
      </c>
      <c r="AC522" s="950">
        <v>2</v>
      </c>
      <c r="AD522" s="950">
        <v>4</v>
      </c>
      <c r="AE522" s="950">
        <v>4</v>
      </c>
      <c r="AF522" s="955">
        <f t="shared" si="1341"/>
        <v>18.5</v>
      </c>
      <c r="AG522" s="955">
        <f t="shared" si="1342"/>
        <v>71</v>
      </c>
      <c r="AH522" s="955">
        <f t="shared" si="1343"/>
        <v>36</v>
      </c>
      <c r="AI522" s="955">
        <v>0</v>
      </c>
      <c r="AJ522" s="955">
        <v>0</v>
      </c>
      <c r="AK522" s="948">
        <f t="shared" si="1344"/>
        <v>4.3</v>
      </c>
      <c r="AL522" s="948">
        <f t="shared" si="1345"/>
        <v>4.3</v>
      </c>
      <c r="AM522" s="948">
        <f t="shared" si="1346"/>
        <v>7.5120000000000005</v>
      </c>
      <c r="AN522" s="948">
        <f t="shared" si="1347"/>
        <v>7.5120000000000005</v>
      </c>
      <c r="AO522" s="948">
        <f t="shared" si="1348"/>
        <v>4.3</v>
      </c>
      <c r="AP522" s="948">
        <f t="shared" si="1349"/>
        <v>4.3</v>
      </c>
      <c r="AQ522" s="948">
        <f t="shared" si="1350"/>
        <v>1.708</v>
      </c>
      <c r="AR522" s="948">
        <f t="shared" si="1351"/>
        <v>0</v>
      </c>
      <c r="AS522" s="948">
        <f t="shared" si="1352"/>
        <v>0</v>
      </c>
      <c r="AT522" s="948">
        <f t="shared" si="1353"/>
        <v>17.2</v>
      </c>
      <c r="AU522" s="948">
        <f t="shared" si="1354"/>
        <v>17.2</v>
      </c>
      <c r="AV522" s="948">
        <f t="shared" si="1355"/>
        <v>15.024000000000001</v>
      </c>
      <c r="AW522" s="948">
        <f t="shared" si="1356"/>
        <v>15.024000000000001</v>
      </c>
      <c r="AX522" s="948">
        <f t="shared" si="1357"/>
        <v>17.2</v>
      </c>
      <c r="AY522" s="948">
        <f t="shared" si="1358"/>
        <v>17.2</v>
      </c>
      <c r="AZ522" s="948">
        <f t="shared" si="1359"/>
        <v>214.35399999999998</v>
      </c>
      <c r="BA522" s="948">
        <f t="shared" si="1360"/>
        <v>0</v>
      </c>
      <c r="BB522" s="948">
        <f t="shared" si="1361"/>
        <v>0</v>
      </c>
      <c r="BC522" s="957">
        <f t="shared" si="1362"/>
        <v>1.5786666666666667</v>
      </c>
      <c r="BD522" s="957">
        <f t="shared" si="1362"/>
        <v>1.5786666666666667</v>
      </c>
      <c r="BE522" s="957">
        <f t="shared" si="1362"/>
        <v>1.5786666666666667</v>
      </c>
      <c r="BF522" s="957">
        <f t="shared" si="1362"/>
        <v>1.5786666666666667</v>
      </c>
      <c r="BG522" s="957">
        <f t="shared" si="1362"/>
        <v>1.5786666666666667</v>
      </c>
      <c r="BH522" s="957">
        <f t="shared" si="1362"/>
        <v>1.5786666666666667</v>
      </c>
      <c r="BI522" s="957">
        <f t="shared" si="1362"/>
        <v>0.39466666666666667</v>
      </c>
      <c r="BJ522" s="957">
        <f t="shared" si="1362"/>
        <v>0</v>
      </c>
      <c r="BK522" s="957">
        <f t="shared" si="1362"/>
        <v>0</v>
      </c>
      <c r="BL522" s="948">
        <f t="shared" si="1363"/>
        <v>27.153066666666664</v>
      </c>
      <c r="BM522" s="948">
        <f t="shared" si="1363"/>
        <v>27.153066666666664</v>
      </c>
      <c r="BN522" s="948">
        <f t="shared" si="1363"/>
        <v>23.717888000000002</v>
      </c>
      <c r="BO522" s="948">
        <f t="shared" si="1363"/>
        <v>23.717888000000002</v>
      </c>
      <c r="BP522" s="948">
        <f t="shared" si="1363"/>
        <v>27.153066666666664</v>
      </c>
      <c r="BQ522" s="948">
        <f t="shared" si="1363"/>
        <v>27.153066666666664</v>
      </c>
      <c r="BR522" s="948">
        <f t="shared" si="1363"/>
        <v>84.598378666666662</v>
      </c>
      <c r="BS522" s="948">
        <f t="shared" si="1364"/>
        <v>0</v>
      </c>
      <c r="BT522" s="955">
        <f t="shared" si="1365"/>
        <v>108.10710751722071</v>
      </c>
    </row>
    <row r="523" spans="1:72">
      <c r="A523" s="952">
        <v>2</v>
      </c>
      <c r="B523" s="952" t="s">
        <v>1188</v>
      </c>
      <c r="C523" s="950" t="s">
        <v>1189</v>
      </c>
      <c r="D523" s="950">
        <v>1</v>
      </c>
      <c r="E523" s="950">
        <v>1</v>
      </c>
      <c r="F523" s="948">
        <v>14</v>
      </c>
      <c r="G523" s="948">
        <v>0.3</v>
      </c>
      <c r="H523" s="948">
        <v>0.7</v>
      </c>
      <c r="I523" s="948">
        <v>0.12</v>
      </c>
      <c r="J523" s="948">
        <f t="shared" si="1339"/>
        <v>0.57999999999999996</v>
      </c>
      <c r="K523" s="948">
        <f t="shared" si="1366"/>
        <v>2.4359999999999999</v>
      </c>
      <c r="L523" s="948">
        <f t="shared" si="1367"/>
        <v>16.239999999999998</v>
      </c>
      <c r="M523" s="952"/>
      <c r="N523" s="950">
        <v>16</v>
      </c>
      <c r="O523" s="950">
        <v>16</v>
      </c>
      <c r="P523" s="950">
        <v>16</v>
      </c>
      <c r="Q523" s="950">
        <v>16</v>
      </c>
      <c r="R523" s="950">
        <v>16</v>
      </c>
      <c r="S523" s="950">
        <v>16</v>
      </c>
      <c r="T523" s="950">
        <v>8</v>
      </c>
      <c r="U523" s="950"/>
      <c r="V523" s="950"/>
      <c r="W523" s="950">
        <v>200</v>
      </c>
      <c r="X523" s="950">
        <v>100</v>
      </c>
      <c r="Y523" s="950">
        <v>100</v>
      </c>
      <c r="Z523" s="950">
        <v>4</v>
      </c>
      <c r="AA523" s="950">
        <v>4</v>
      </c>
      <c r="AB523" s="950">
        <v>2</v>
      </c>
      <c r="AC523" s="950">
        <v>2</v>
      </c>
      <c r="AD523" s="950">
        <v>4</v>
      </c>
      <c r="AE523" s="950">
        <v>4</v>
      </c>
      <c r="AF523" s="955">
        <f t="shared" si="1341"/>
        <v>18.5</v>
      </c>
      <c r="AG523" s="955">
        <f t="shared" si="1342"/>
        <v>71</v>
      </c>
      <c r="AH523" s="955">
        <f t="shared" si="1343"/>
        <v>36</v>
      </c>
      <c r="AI523" s="955">
        <v>0</v>
      </c>
      <c r="AJ523" s="955">
        <v>0</v>
      </c>
      <c r="AK523" s="948">
        <f t="shared" si="1344"/>
        <v>4.3</v>
      </c>
      <c r="AL523" s="948">
        <f t="shared" si="1345"/>
        <v>4.3</v>
      </c>
      <c r="AM523" s="948">
        <f t="shared" si="1346"/>
        <v>7.5120000000000005</v>
      </c>
      <c r="AN523" s="948">
        <f t="shared" si="1347"/>
        <v>7.5120000000000005</v>
      </c>
      <c r="AO523" s="948">
        <f t="shared" si="1348"/>
        <v>4.3</v>
      </c>
      <c r="AP523" s="948">
        <f t="shared" si="1349"/>
        <v>4.3</v>
      </c>
      <c r="AQ523" s="948">
        <f t="shared" si="1350"/>
        <v>1.8080000000000001</v>
      </c>
      <c r="AR523" s="948">
        <f t="shared" si="1351"/>
        <v>0</v>
      </c>
      <c r="AS523" s="948">
        <f t="shared" si="1352"/>
        <v>0</v>
      </c>
      <c r="AT523" s="948">
        <f t="shared" si="1353"/>
        <v>17.2</v>
      </c>
      <c r="AU523" s="948">
        <f t="shared" si="1354"/>
        <v>17.2</v>
      </c>
      <c r="AV523" s="948">
        <f t="shared" si="1355"/>
        <v>15.024000000000001</v>
      </c>
      <c r="AW523" s="948">
        <f t="shared" si="1356"/>
        <v>15.024000000000001</v>
      </c>
      <c r="AX523" s="948">
        <f t="shared" si="1357"/>
        <v>17.2</v>
      </c>
      <c r="AY523" s="948">
        <f t="shared" si="1358"/>
        <v>17.2</v>
      </c>
      <c r="AZ523" s="948">
        <f t="shared" si="1359"/>
        <v>226.904</v>
      </c>
      <c r="BA523" s="948">
        <f t="shared" si="1360"/>
        <v>0</v>
      </c>
      <c r="BB523" s="948">
        <f t="shared" si="1361"/>
        <v>0</v>
      </c>
      <c r="BC523" s="957">
        <f t="shared" si="1362"/>
        <v>1.5786666666666667</v>
      </c>
      <c r="BD523" s="957">
        <f t="shared" si="1362"/>
        <v>1.5786666666666667</v>
      </c>
      <c r="BE523" s="957">
        <f t="shared" si="1362"/>
        <v>1.5786666666666667</v>
      </c>
      <c r="BF523" s="957">
        <f t="shared" si="1362"/>
        <v>1.5786666666666667</v>
      </c>
      <c r="BG523" s="957">
        <f t="shared" si="1362"/>
        <v>1.5786666666666667</v>
      </c>
      <c r="BH523" s="957">
        <f t="shared" si="1362"/>
        <v>1.5786666666666667</v>
      </c>
      <c r="BI523" s="957">
        <f t="shared" si="1362"/>
        <v>0.39466666666666667</v>
      </c>
      <c r="BJ523" s="957">
        <f t="shared" si="1362"/>
        <v>0</v>
      </c>
      <c r="BK523" s="957">
        <f t="shared" si="1362"/>
        <v>0</v>
      </c>
      <c r="BL523" s="948">
        <f t="shared" si="1363"/>
        <v>27.153066666666664</v>
      </c>
      <c r="BM523" s="948">
        <f t="shared" si="1363"/>
        <v>27.153066666666664</v>
      </c>
      <c r="BN523" s="948">
        <f t="shared" si="1363"/>
        <v>23.717888000000002</v>
      </c>
      <c r="BO523" s="948">
        <f t="shared" si="1363"/>
        <v>23.717888000000002</v>
      </c>
      <c r="BP523" s="948">
        <f t="shared" si="1363"/>
        <v>27.153066666666664</v>
      </c>
      <c r="BQ523" s="948">
        <f t="shared" si="1363"/>
        <v>27.153066666666664</v>
      </c>
      <c r="BR523" s="948">
        <f t="shared" si="1363"/>
        <v>89.551445333333334</v>
      </c>
      <c r="BS523" s="948">
        <f t="shared" si="1364"/>
        <v>0</v>
      </c>
      <c r="BT523" s="955">
        <f t="shared" si="1365"/>
        <v>100.8208078817734</v>
      </c>
    </row>
    <row r="524" spans="1:72">
      <c r="A524" s="952">
        <v>3</v>
      </c>
      <c r="B524" s="952" t="s">
        <v>1170</v>
      </c>
      <c r="C524" s="950" t="s">
        <v>1190</v>
      </c>
      <c r="D524" s="950">
        <v>1</v>
      </c>
      <c r="E524" s="950">
        <v>1</v>
      </c>
      <c r="F524" s="948">
        <v>32</v>
      </c>
      <c r="G524" s="948">
        <v>0.3</v>
      </c>
      <c r="H524" s="948">
        <v>0.65</v>
      </c>
      <c r="I524" s="948">
        <v>0.12</v>
      </c>
      <c r="J524" s="948">
        <f t="shared" si="1339"/>
        <v>0.53</v>
      </c>
      <c r="K524" s="948">
        <f t="shared" si="1366"/>
        <v>5.0880000000000001</v>
      </c>
      <c r="L524" s="948">
        <f t="shared" si="1367"/>
        <v>33.92</v>
      </c>
      <c r="M524" s="952"/>
      <c r="N524" s="950">
        <v>16</v>
      </c>
      <c r="O524" s="950">
        <v>16</v>
      </c>
      <c r="P524" s="950">
        <v>16</v>
      </c>
      <c r="Q524" s="950">
        <v>16</v>
      </c>
      <c r="R524" s="950">
        <v>16</v>
      </c>
      <c r="S524" s="950">
        <v>16</v>
      </c>
      <c r="T524" s="950">
        <v>8</v>
      </c>
      <c r="U524" s="950"/>
      <c r="V524" s="950"/>
      <c r="W524" s="950">
        <v>200</v>
      </c>
      <c r="X524" s="950">
        <v>100</v>
      </c>
      <c r="Y524" s="950">
        <v>100</v>
      </c>
      <c r="Z524" s="950">
        <v>9</v>
      </c>
      <c r="AA524" s="950">
        <v>6</v>
      </c>
      <c r="AB524" s="950">
        <v>4</v>
      </c>
      <c r="AC524" s="950">
        <v>4</v>
      </c>
      <c r="AD524" s="950">
        <v>9</v>
      </c>
      <c r="AE524" s="950">
        <v>6</v>
      </c>
      <c r="AF524" s="955">
        <f t="shared" si="1341"/>
        <v>41</v>
      </c>
      <c r="AG524" s="955">
        <f t="shared" si="1342"/>
        <v>161</v>
      </c>
      <c r="AH524" s="955">
        <f t="shared" si="1343"/>
        <v>81</v>
      </c>
      <c r="AI524" s="955">
        <v>0</v>
      </c>
      <c r="AJ524" s="955">
        <v>0</v>
      </c>
      <c r="AK524" s="948">
        <f t="shared" si="1344"/>
        <v>8.8000000000000007</v>
      </c>
      <c r="AL524" s="948">
        <f t="shared" si="1345"/>
        <v>8.8000000000000007</v>
      </c>
      <c r="AM524" s="948">
        <f t="shared" si="1346"/>
        <v>16.512</v>
      </c>
      <c r="AN524" s="948">
        <f t="shared" si="1347"/>
        <v>16.512</v>
      </c>
      <c r="AO524" s="948">
        <f t="shared" si="1348"/>
        <v>8.8000000000000007</v>
      </c>
      <c r="AP524" s="948">
        <f t="shared" si="1349"/>
        <v>8.8000000000000007</v>
      </c>
      <c r="AQ524" s="948">
        <f t="shared" si="1350"/>
        <v>1.708</v>
      </c>
      <c r="AR524" s="948">
        <f t="shared" si="1351"/>
        <v>0</v>
      </c>
      <c r="AS524" s="948">
        <f t="shared" si="1352"/>
        <v>0</v>
      </c>
      <c r="AT524" s="948">
        <f t="shared" si="1353"/>
        <v>79.2</v>
      </c>
      <c r="AU524" s="948">
        <f t="shared" si="1354"/>
        <v>52.800000000000004</v>
      </c>
      <c r="AV524" s="948">
        <f t="shared" si="1355"/>
        <v>66.048000000000002</v>
      </c>
      <c r="AW524" s="948">
        <f t="shared" si="1356"/>
        <v>66.048000000000002</v>
      </c>
      <c r="AX524" s="948">
        <f t="shared" si="1357"/>
        <v>79.2</v>
      </c>
      <c r="AY524" s="948">
        <f t="shared" si="1358"/>
        <v>52.800000000000004</v>
      </c>
      <c r="AZ524" s="948">
        <f t="shared" si="1359"/>
        <v>483.36399999999998</v>
      </c>
      <c r="BA524" s="948">
        <f t="shared" si="1360"/>
        <v>0</v>
      </c>
      <c r="BB524" s="948">
        <f t="shared" si="1361"/>
        <v>0</v>
      </c>
      <c r="BC524" s="957">
        <f t="shared" si="1362"/>
        <v>1.5786666666666667</v>
      </c>
      <c r="BD524" s="957">
        <f t="shared" si="1362"/>
        <v>1.5786666666666667</v>
      </c>
      <c r="BE524" s="957">
        <f t="shared" si="1362"/>
        <v>1.5786666666666667</v>
      </c>
      <c r="BF524" s="957">
        <f t="shared" si="1362"/>
        <v>1.5786666666666667</v>
      </c>
      <c r="BG524" s="957">
        <f t="shared" si="1362"/>
        <v>1.5786666666666667</v>
      </c>
      <c r="BH524" s="957">
        <f t="shared" si="1362"/>
        <v>1.5786666666666667</v>
      </c>
      <c r="BI524" s="957">
        <f t="shared" si="1362"/>
        <v>0.39466666666666667</v>
      </c>
      <c r="BJ524" s="957">
        <f t="shared" si="1362"/>
        <v>0</v>
      </c>
      <c r="BK524" s="957">
        <f t="shared" si="1362"/>
        <v>0</v>
      </c>
      <c r="BL524" s="948">
        <f t="shared" si="1363"/>
        <v>125.0304</v>
      </c>
      <c r="BM524" s="948">
        <f t="shared" si="1363"/>
        <v>83.3536</v>
      </c>
      <c r="BN524" s="948">
        <f t="shared" si="1363"/>
        <v>104.267776</v>
      </c>
      <c r="BO524" s="948">
        <f t="shared" si="1363"/>
        <v>104.267776</v>
      </c>
      <c r="BP524" s="948">
        <f t="shared" si="1363"/>
        <v>125.0304</v>
      </c>
      <c r="BQ524" s="948">
        <f t="shared" si="1363"/>
        <v>83.3536</v>
      </c>
      <c r="BR524" s="948">
        <f t="shared" si="1363"/>
        <v>190.76765866666665</v>
      </c>
      <c r="BS524" s="948">
        <f t="shared" si="1364"/>
        <v>0</v>
      </c>
      <c r="BT524" s="955">
        <f t="shared" si="1365"/>
        <v>160.39135429769394</v>
      </c>
    </row>
    <row r="525" spans="1:72">
      <c r="A525" s="952">
        <v>4</v>
      </c>
      <c r="B525" s="952" t="s">
        <v>1183</v>
      </c>
      <c r="C525" s="950" t="s">
        <v>1191</v>
      </c>
      <c r="D525" s="950">
        <v>1</v>
      </c>
      <c r="E525" s="950">
        <v>1</v>
      </c>
      <c r="F525" s="948">
        <v>24</v>
      </c>
      <c r="G525" s="948">
        <v>0.3</v>
      </c>
      <c r="H525" s="948">
        <v>0.65</v>
      </c>
      <c r="I525" s="948">
        <v>0.12</v>
      </c>
      <c r="J525" s="948">
        <f t="shared" si="1339"/>
        <v>0.53</v>
      </c>
      <c r="K525" s="948">
        <f t="shared" si="1366"/>
        <v>3.8159999999999998</v>
      </c>
      <c r="L525" s="948">
        <f t="shared" si="1367"/>
        <v>25.44</v>
      </c>
      <c r="M525" s="952"/>
      <c r="N525" s="950">
        <v>25</v>
      </c>
      <c r="O525" s="950">
        <v>25</v>
      </c>
      <c r="P525" s="950">
        <v>25</v>
      </c>
      <c r="Q525" s="950">
        <v>25</v>
      </c>
      <c r="R525" s="950">
        <v>25</v>
      </c>
      <c r="S525" s="950">
        <v>25</v>
      </c>
      <c r="T525" s="950">
        <v>8</v>
      </c>
      <c r="U525" s="950"/>
      <c r="V525" s="950"/>
      <c r="W525" s="950">
        <v>200</v>
      </c>
      <c r="X525" s="950">
        <v>100</v>
      </c>
      <c r="Y525" s="950">
        <v>100</v>
      </c>
      <c r="Z525" s="950">
        <v>9</v>
      </c>
      <c r="AA525" s="950">
        <v>6</v>
      </c>
      <c r="AB525" s="950">
        <v>4</v>
      </c>
      <c r="AC525" s="950">
        <v>4</v>
      </c>
      <c r="AD525" s="950">
        <v>9</v>
      </c>
      <c r="AE525" s="950">
        <v>6</v>
      </c>
      <c r="AF525" s="955">
        <f t="shared" si="1341"/>
        <v>31</v>
      </c>
      <c r="AG525" s="955">
        <f t="shared" si="1342"/>
        <v>121</v>
      </c>
      <c r="AH525" s="955">
        <f t="shared" si="1343"/>
        <v>61</v>
      </c>
      <c r="AI525" s="955">
        <v>0</v>
      </c>
      <c r="AJ525" s="955">
        <v>0</v>
      </c>
      <c r="AK525" s="948">
        <f t="shared" si="1344"/>
        <v>7.25</v>
      </c>
      <c r="AL525" s="948">
        <f t="shared" si="1345"/>
        <v>7.25</v>
      </c>
      <c r="AM525" s="948">
        <f t="shared" si="1346"/>
        <v>12.8</v>
      </c>
      <c r="AN525" s="948">
        <f t="shared" si="1347"/>
        <v>12.8</v>
      </c>
      <c r="AO525" s="948">
        <f t="shared" si="1348"/>
        <v>7.25</v>
      </c>
      <c r="AP525" s="948">
        <f t="shared" si="1349"/>
        <v>7.25</v>
      </c>
      <c r="AQ525" s="948">
        <f t="shared" si="1350"/>
        <v>1.708</v>
      </c>
      <c r="AR525" s="948">
        <f t="shared" si="1351"/>
        <v>0</v>
      </c>
      <c r="AS525" s="948">
        <f t="shared" si="1352"/>
        <v>0</v>
      </c>
      <c r="AT525" s="948">
        <f t="shared" si="1353"/>
        <v>65.25</v>
      </c>
      <c r="AU525" s="948">
        <f t="shared" si="1354"/>
        <v>43.5</v>
      </c>
      <c r="AV525" s="948">
        <f t="shared" si="1355"/>
        <v>51.2</v>
      </c>
      <c r="AW525" s="948">
        <f t="shared" si="1356"/>
        <v>51.2</v>
      </c>
      <c r="AX525" s="948">
        <f t="shared" si="1357"/>
        <v>65.25</v>
      </c>
      <c r="AY525" s="948">
        <f t="shared" si="1358"/>
        <v>43.5</v>
      </c>
      <c r="AZ525" s="948">
        <f t="shared" si="1359"/>
        <v>363.80399999999997</v>
      </c>
      <c r="BA525" s="948">
        <f t="shared" si="1360"/>
        <v>0</v>
      </c>
      <c r="BB525" s="948">
        <f t="shared" si="1361"/>
        <v>0</v>
      </c>
      <c r="BC525" s="957">
        <f t="shared" si="1362"/>
        <v>3.8541666666666665</v>
      </c>
      <c r="BD525" s="957">
        <f t="shared" si="1362"/>
        <v>3.8541666666666665</v>
      </c>
      <c r="BE525" s="957">
        <f t="shared" si="1362"/>
        <v>3.8541666666666665</v>
      </c>
      <c r="BF525" s="957">
        <f t="shared" si="1362"/>
        <v>3.8541666666666665</v>
      </c>
      <c r="BG525" s="957">
        <f t="shared" si="1362"/>
        <v>3.8541666666666665</v>
      </c>
      <c r="BH525" s="957">
        <f t="shared" si="1362"/>
        <v>3.8541666666666665</v>
      </c>
      <c r="BI525" s="957">
        <f t="shared" si="1362"/>
        <v>0.39466666666666667</v>
      </c>
      <c r="BJ525" s="957">
        <f t="shared" si="1362"/>
        <v>0</v>
      </c>
      <c r="BK525" s="957">
        <f t="shared" si="1362"/>
        <v>0</v>
      </c>
      <c r="BL525" s="948">
        <f t="shared" si="1363"/>
        <v>251.484375</v>
      </c>
      <c r="BM525" s="948">
        <f t="shared" si="1363"/>
        <v>167.65625</v>
      </c>
      <c r="BN525" s="948">
        <f t="shared" si="1363"/>
        <v>197.33333333333334</v>
      </c>
      <c r="BO525" s="948">
        <f t="shared" si="1363"/>
        <v>197.33333333333334</v>
      </c>
      <c r="BP525" s="948">
        <f t="shared" si="1363"/>
        <v>251.484375</v>
      </c>
      <c r="BQ525" s="948">
        <f t="shared" si="1363"/>
        <v>167.65625</v>
      </c>
      <c r="BR525" s="948">
        <f t="shared" si="1363"/>
        <v>143.581312</v>
      </c>
      <c r="BS525" s="948">
        <f t="shared" si="1364"/>
        <v>0</v>
      </c>
      <c r="BT525" s="955">
        <f t="shared" si="1365"/>
        <v>360.72568885394833</v>
      </c>
    </row>
    <row r="526" spans="1:72">
      <c r="A526" s="952">
        <v>5</v>
      </c>
      <c r="B526" s="952" t="s">
        <v>1173</v>
      </c>
      <c r="C526" s="950" t="s">
        <v>1174</v>
      </c>
      <c r="D526" s="950">
        <v>1</v>
      </c>
      <c r="E526" s="950">
        <v>1</v>
      </c>
      <c r="F526" s="948">
        <v>5.4</v>
      </c>
      <c r="G526" s="948">
        <v>0.3</v>
      </c>
      <c r="H526" s="948">
        <v>0.65</v>
      </c>
      <c r="I526" s="948">
        <v>0.12</v>
      </c>
      <c r="J526" s="948">
        <f t="shared" si="1339"/>
        <v>0.53</v>
      </c>
      <c r="K526" s="948">
        <f t="shared" si="1366"/>
        <v>0.85860000000000014</v>
      </c>
      <c r="L526" s="948">
        <f t="shared" si="1367"/>
        <v>5.7240000000000011</v>
      </c>
      <c r="M526" s="952"/>
      <c r="N526" s="950">
        <v>16</v>
      </c>
      <c r="O526" s="950">
        <v>16</v>
      </c>
      <c r="P526" s="950">
        <v>16</v>
      </c>
      <c r="Q526" s="950">
        <v>16</v>
      </c>
      <c r="R526" s="950">
        <v>16</v>
      </c>
      <c r="S526" s="950">
        <v>16</v>
      </c>
      <c r="T526" s="950">
        <v>8</v>
      </c>
      <c r="U526" s="950"/>
      <c r="V526" s="950"/>
      <c r="W526" s="950">
        <v>200</v>
      </c>
      <c r="X526" s="950">
        <v>100</v>
      </c>
      <c r="Y526" s="950">
        <v>100</v>
      </c>
      <c r="Z526" s="950">
        <v>9</v>
      </c>
      <c r="AA526" s="950">
        <v>6</v>
      </c>
      <c r="AB526" s="950">
        <v>4</v>
      </c>
      <c r="AC526" s="950">
        <v>4</v>
      </c>
      <c r="AD526" s="950">
        <v>9</v>
      </c>
      <c r="AE526" s="950">
        <v>6</v>
      </c>
      <c r="AF526" s="955">
        <f t="shared" si="1341"/>
        <v>7.75</v>
      </c>
      <c r="AG526" s="955">
        <f t="shared" si="1342"/>
        <v>28</v>
      </c>
      <c r="AH526" s="955">
        <f t="shared" si="1343"/>
        <v>14.5</v>
      </c>
      <c r="AI526" s="955">
        <v>0</v>
      </c>
      <c r="AJ526" s="955">
        <v>0</v>
      </c>
      <c r="AK526" s="948">
        <f t="shared" si="1344"/>
        <v>2.1500000000000004</v>
      </c>
      <c r="AL526" s="948">
        <f t="shared" si="1345"/>
        <v>2.1500000000000004</v>
      </c>
      <c r="AM526" s="948">
        <f t="shared" si="1346"/>
        <v>3.2120000000000002</v>
      </c>
      <c r="AN526" s="948">
        <f t="shared" si="1347"/>
        <v>3.2120000000000002</v>
      </c>
      <c r="AO526" s="948">
        <f t="shared" si="1348"/>
        <v>2.1500000000000004</v>
      </c>
      <c r="AP526" s="948">
        <f t="shared" si="1349"/>
        <v>2.1500000000000004</v>
      </c>
      <c r="AQ526" s="948">
        <f t="shared" si="1350"/>
        <v>1.708</v>
      </c>
      <c r="AR526" s="948">
        <f t="shared" si="1351"/>
        <v>0</v>
      </c>
      <c r="AS526" s="948">
        <f t="shared" si="1352"/>
        <v>0</v>
      </c>
      <c r="AT526" s="948">
        <f t="shared" si="1353"/>
        <v>19.350000000000001</v>
      </c>
      <c r="AU526" s="948">
        <f t="shared" si="1354"/>
        <v>12.900000000000002</v>
      </c>
      <c r="AV526" s="948">
        <f t="shared" si="1355"/>
        <v>12.848000000000001</v>
      </c>
      <c r="AW526" s="948">
        <f t="shared" si="1356"/>
        <v>12.848000000000001</v>
      </c>
      <c r="AX526" s="948">
        <f t="shared" si="1357"/>
        <v>19.350000000000001</v>
      </c>
      <c r="AY526" s="948">
        <f t="shared" si="1358"/>
        <v>12.900000000000002</v>
      </c>
      <c r="AZ526" s="948">
        <f t="shared" si="1359"/>
        <v>85.826999999999998</v>
      </c>
      <c r="BA526" s="948">
        <f t="shared" si="1360"/>
        <v>0</v>
      </c>
      <c r="BB526" s="948">
        <f t="shared" si="1361"/>
        <v>0</v>
      </c>
      <c r="BC526" s="957">
        <f t="shared" si="1362"/>
        <v>1.5786666666666667</v>
      </c>
      <c r="BD526" s="957">
        <f t="shared" si="1362"/>
        <v>1.5786666666666667</v>
      </c>
      <c r="BE526" s="957">
        <f t="shared" si="1362"/>
        <v>1.5786666666666667</v>
      </c>
      <c r="BF526" s="957">
        <f t="shared" si="1362"/>
        <v>1.5786666666666667</v>
      </c>
      <c r="BG526" s="957">
        <f t="shared" si="1362"/>
        <v>1.5786666666666667</v>
      </c>
      <c r="BH526" s="957">
        <f t="shared" si="1362"/>
        <v>1.5786666666666667</v>
      </c>
      <c r="BI526" s="957">
        <f t="shared" si="1362"/>
        <v>0.39466666666666667</v>
      </c>
      <c r="BJ526" s="957">
        <f t="shared" si="1362"/>
        <v>0</v>
      </c>
      <c r="BK526" s="957">
        <f t="shared" si="1362"/>
        <v>0</v>
      </c>
      <c r="BL526" s="948">
        <f t="shared" si="1363"/>
        <v>30.547200000000004</v>
      </c>
      <c r="BM526" s="948">
        <f t="shared" si="1363"/>
        <v>20.364800000000002</v>
      </c>
      <c r="BN526" s="948">
        <f t="shared" si="1363"/>
        <v>20.282709333333333</v>
      </c>
      <c r="BO526" s="948">
        <f t="shared" si="1363"/>
        <v>20.282709333333333</v>
      </c>
      <c r="BP526" s="948">
        <f t="shared" si="1363"/>
        <v>30.547200000000004</v>
      </c>
      <c r="BQ526" s="948">
        <f t="shared" si="1363"/>
        <v>20.364800000000002</v>
      </c>
      <c r="BR526" s="948">
        <f t="shared" si="1363"/>
        <v>33.873055999999998</v>
      </c>
      <c r="BS526" s="948">
        <f t="shared" si="1364"/>
        <v>0</v>
      </c>
      <c r="BT526" s="955">
        <f t="shared" si="1365"/>
        <v>205.29055982607341</v>
      </c>
    </row>
    <row r="527" spans="1:72">
      <c r="A527" s="952">
        <v>6</v>
      </c>
      <c r="B527" s="952" t="s">
        <v>1192</v>
      </c>
      <c r="C527" s="950" t="s">
        <v>1193</v>
      </c>
      <c r="D527" s="950">
        <v>1</v>
      </c>
      <c r="E527" s="950">
        <v>1</v>
      </c>
      <c r="F527" s="948">
        <v>14</v>
      </c>
      <c r="G527" s="948">
        <v>0.3</v>
      </c>
      <c r="H527" s="948">
        <v>0.7</v>
      </c>
      <c r="I527" s="948">
        <v>0.12</v>
      </c>
      <c r="J527" s="948">
        <f t="shared" si="1339"/>
        <v>0.57999999999999996</v>
      </c>
      <c r="K527" s="948">
        <f t="shared" si="1366"/>
        <v>2.4359999999999999</v>
      </c>
      <c r="L527" s="948">
        <f t="shared" si="1367"/>
        <v>16.239999999999998</v>
      </c>
      <c r="M527" s="952"/>
      <c r="N527" s="950">
        <v>25</v>
      </c>
      <c r="O527" s="950">
        <v>25</v>
      </c>
      <c r="P527" s="950">
        <v>25</v>
      </c>
      <c r="Q527" s="950">
        <v>25</v>
      </c>
      <c r="R527" s="950">
        <v>25</v>
      </c>
      <c r="S527" s="950">
        <v>25</v>
      </c>
      <c r="T527" s="950">
        <v>8</v>
      </c>
      <c r="U527" s="950"/>
      <c r="V527" s="950"/>
      <c r="W527" s="950">
        <v>200</v>
      </c>
      <c r="X527" s="950">
        <v>100</v>
      </c>
      <c r="Y527" s="950">
        <v>100</v>
      </c>
      <c r="Z527" s="950">
        <v>9</v>
      </c>
      <c r="AA527" s="950">
        <v>6</v>
      </c>
      <c r="AB527" s="950">
        <v>4</v>
      </c>
      <c r="AC527" s="950">
        <v>4</v>
      </c>
      <c r="AD527" s="950">
        <v>9</v>
      </c>
      <c r="AE527" s="950">
        <v>6</v>
      </c>
      <c r="AF527" s="955">
        <f t="shared" si="1341"/>
        <v>18.5</v>
      </c>
      <c r="AG527" s="955">
        <f t="shared" si="1342"/>
        <v>71</v>
      </c>
      <c r="AH527" s="955">
        <f t="shared" si="1343"/>
        <v>36</v>
      </c>
      <c r="AI527" s="955">
        <v>0</v>
      </c>
      <c r="AJ527" s="955">
        <v>0</v>
      </c>
      <c r="AK527" s="948">
        <f t="shared" si="1344"/>
        <v>4.75</v>
      </c>
      <c r="AL527" s="948">
        <f t="shared" si="1345"/>
        <v>4.75</v>
      </c>
      <c r="AM527" s="948">
        <f t="shared" si="1346"/>
        <v>7.8</v>
      </c>
      <c r="AN527" s="948">
        <f t="shared" si="1347"/>
        <v>7.8</v>
      </c>
      <c r="AO527" s="948">
        <f t="shared" si="1348"/>
        <v>4.75</v>
      </c>
      <c r="AP527" s="948">
        <f t="shared" si="1349"/>
        <v>4.75</v>
      </c>
      <c r="AQ527" s="948">
        <f t="shared" si="1350"/>
        <v>1.8080000000000001</v>
      </c>
      <c r="AR527" s="948">
        <f t="shared" si="1351"/>
        <v>0</v>
      </c>
      <c r="AS527" s="948">
        <f t="shared" si="1352"/>
        <v>0</v>
      </c>
      <c r="AT527" s="948">
        <f t="shared" si="1353"/>
        <v>42.75</v>
      </c>
      <c r="AU527" s="948">
        <f t="shared" si="1354"/>
        <v>28.5</v>
      </c>
      <c r="AV527" s="948">
        <f t="shared" si="1355"/>
        <v>31.2</v>
      </c>
      <c r="AW527" s="948">
        <f t="shared" si="1356"/>
        <v>31.2</v>
      </c>
      <c r="AX527" s="948">
        <f t="shared" si="1357"/>
        <v>42.75</v>
      </c>
      <c r="AY527" s="948">
        <f t="shared" si="1358"/>
        <v>28.5</v>
      </c>
      <c r="AZ527" s="948">
        <f t="shared" si="1359"/>
        <v>226.904</v>
      </c>
      <c r="BA527" s="948">
        <f t="shared" si="1360"/>
        <v>0</v>
      </c>
      <c r="BB527" s="948">
        <f t="shared" si="1361"/>
        <v>0</v>
      </c>
      <c r="BC527" s="957">
        <f t="shared" si="1362"/>
        <v>3.8541666666666665</v>
      </c>
      <c r="BD527" s="957">
        <f t="shared" si="1362"/>
        <v>3.8541666666666665</v>
      </c>
      <c r="BE527" s="957">
        <f t="shared" si="1362"/>
        <v>3.8541666666666665</v>
      </c>
      <c r="BF527" s="957">
        <f t="shared" si="1362"/>
        <v>3.8541666666666665</v>
      </c>
      <c r="BG527" s="957">
        <f t="shared" si="1362"/>
        <v>3.8541666666666665</v>
      </c>
      <c r="BH527" s="957">
        <f t="shared" si="1362"/>
        <v>3.8541666666666665</v>
      </c>
      <c r="BI527" s="957">
        <f t="shared" si="1362"/>
        <v>0.39466666666666667</v>
      </c>
      <c r="BJ527" s="957">
        <f t="shared" si="1362"/>
        <v>0</v>
      </c>
      <c r="BK527" s="957">
        <f t="shared" si="1362"/>
        <v>0</v>
      </c>
      <c r="BL527" s="948">
        <f t="shared" si="1363"/>
        <v>164.765625</v>
      </c>
      <c r="BM527" s="948">
        <f t="shared" si="1363"/>
        <v>109.84375</v>
      </c>
      <c r="BN527" s="948">
        <f t="shared" si="1363"/>
        <v>120.24999999999999</v>
      </c>
      <c r="BO527" s="948">
        <f t="shared" si="1363"/>
        <v>120.24999999999999</v>
      </c>
      <c r="BP527" s="948">
        <f t="shared" si="1363"/>
        <v>164.765625</v>
      </c>
      <c r="BQ527" s="948">
        <f t="shared" si="1363"/>
        <v>109.84375</v>
      </c>
      <c r="BR527" s="948">
        <f t="shared" si="1363"/>
        <v>89.551445333333334</v>
      </c>
      <c r="BS527" s="948">
        <f t="shared" si="1364"/>
        <v>0</v>
      </c>
      <c r="BT527" s="955">
        <f t="shared" si="1365"/>
        <v>360.94835604816637</v>
      </c>
    </row>
    <row r="528" spans="1:72">
      <c r="A528" s="952">
        <v>7</v>
      </c>
      <c r="B528" s="952" t="s">
        <v>1177</v>
      </c>
      <c r="C528" s="950" t="s">
        <v>1099</v>
      </c>
      <c r="D528" s="950">
        <v>1</v>
      </c>
      <c r="E528" s="950">
        <v>1</v>
      </c>
      <c r="F528" s="948">
        <v>4.75</v>
      </c>
      <c r="G528" s="948">
        <v>0.25</v>
      </c>
      <c r="H528" s="948">
        <v>0.6</v>
      </c>
      <c r="I528" s="948">
        <v>0.12</v>
      </c>
      <c r="J528" s="948">
        <v>0.48</v>
      </c>
      <c r="K528" s="948">
        <v>0.64800000000000002</v>
      </c>
      <c r="L528" s="948">
        <v>5.1840000000000002</v>
      </c>
      <c r="M528" s="952"/>
      <c r="N528" s="950">
        <v>16</v>
      </c>
      <c r="O528" s="950">
        <v>16</v>
      </c>
      <c r="P528" s="950">
        <v>16</v>
      </c>
      <c r="Q528" s="950">
        <v>16</v>
      </c>
      <c r="R528" s="950">
        <v>16</v>
      </c>
      <c r="S528" s="950">
        <v>16</v>
      </c>
      <c r="T528" s="950">
        <v>8</v>
      </c>
      <c r="U528" s="950"/>
      <c r="V528" s="950"/>
      <c r="W528" s="950">
        <v>200</v>
      </c>
      <c r="X528" s="950">
        <v>100</v>
      </c>
      <c r="Y528" s="950">
        <v>100</v>
      </c>
      <c r="Z528" s="950">
        <v>9</v>
      </c>
      <c r="AA528" s="950">
        <v>6</v>
      </c>
      <c r="AB528" s="950">
        <v>4</v>
      </c>
      <c r="AC528" s="950">
        <v>4</v>
      </c>
      <c r="AD528" s="950">
        <v>9</v>
      </c>
      <c r="AE528" s="950">
        <v>6</v>
      </c>
      <c r="AF528" s="955">
        <v>7.75</v>
      </c>
      <c r="AG528" s="955">
        <v>28</v>
      </c>
      <c r="AH528" s="955">
        <v>14.5</v>
      </c>
      <c r="AI528" s="955">
        <v>0</v>
      </c>
      <c r="AJ528" s="955">
        <v>0</v>
      </c>
      <c r="AK528" s="948">
        <v>2.1500000000000004</v>
      </c>
      <c r="AL528" s="948">
        <v>2.1500000000000004</v>
      </c>
      <c r="AM528" s="948">
        <v>3.2120000000000002</v>
      </c>
      <c r="AN528" s="948">
        <v>3.2120000000000002</v>
      </c>
      <c r="AO528" s="948">
        <v>2.1500000000000004</v>
      </c>
      <c r="AP528" s="948">
        <v>2.1500000000000004</v>
      </c>
      <c r="AQ528" s="948">
        <v>1.508</v>
      </c>
      <c r="AR528" s="948">
        <v>0</v>
      </c>
      <c r="AS528" s="948">
        <v>0</v>
      </c>
      <c r="AT528" s="948">
        <v>19.350000000000001</v>
      </c>
      <c r="AU528" s="948">
        <v>12.900000000000002</v>
      </c>
      <c r="AV528" s="948">
        <v>12.848000000000001</v>
      </c>
      <c r="AW528" s="948">
        <v>12.848000000000001</v>
      </c>
      <c r="AX528" s="948">
        <v>19.350000000000001</v>
      </c>
      <c r="AY528" s="948">
        <v>12.900000000000002</v>
      </c>
      <c r="AZ528" s="948">
        <v>75.777000000000001</v>
      </c>
      <c r="BA528" s="948">
        <v>0</v>
      </c>
      <c r="BB528" s="948">
        <v>0</v>
      </c>
      <c r="BC528" s="957">
        <v>1.5786666666666667</v>
      </c>
      <c r="BD528" s="957">
        <v>1.5786666666666667</v>
      </c>
      <c r="BE528" s="957">
        <v>1.5786666666666667</v>
      </c>
      <c r="BF528" s="957">
        <v>1.5786666666666667</v>
      </c>
      <c r="BG528" s="957">
        <v>1.5786666666666667</v>
      </c>
      <c r="BH528" s="957">
        <v>1.5786666666666667</v>
      </c>
      <c r="BI528" s="957">
        <v>0.39466666666666667</v>
      </c>
      <c r="BJ528" s="957">
        <v>0</v>
      </c>
      <c r="BK528" s="957">
        <v>0</v>
      </c>
      <c r="BL528" s="948">
        <v>30.547200000000004</v>
      </c>
      <c r="BM528" s="948">
        <v>20.364800000000002</v>
      </c>
      <c r="BN528" s="948">
        <v>20.282709333333333</v>
      </c>
      <c r="BO528" s="948">
        <v>20.282709333333333</v>
      </c>
      <c r="BP528" s="948">
        <v>30.547200000000004</v>
      </c>
      <c r="BQ528" s="948">
        <v>20.364800000000002</v>
      </c>
      <c r="BR528" s="948">
        <v>29.906656000000002</v>
      </c>
      <c r="BS528" s="948">
        <v>0</v>
      </c>
      <c r="BT528" s="955">
        <v>265.88900411522633</v>
      </c>
    </row>
    <row r="529" spans="1:72">
      <c r="A529" s="952">
        <v>8</v>
      </c>
      <c r="B529" s="952" t="s">
        <v>1179</v>
      </c>
      <c r="C529" s="950" t="s">
        <v>1125</v>
      </c>
      <c r="D529" s="950">
        <v>1</v>
      </c>
      <c r="E529" s="950">
        <v>1</v>
      </c>
      <c r="F529" s="948">
        <v>8</v>
      </c>
      <c r="G529" s="948">
        <v>0.3</v>
      </c>
      <c r="H529" s="948">
        <v>0.65</v>
      </c>
      <c r="I529" s="948">
        <v>0.12</v>
      </c>
      <c r="J529" s="948">
        <f t="shared" ref="J529:J532" si="1368">H529-I529</f>
        <v>0.53</v>
      </c>
      <c r="K529" s="948">
        <f t="shared" ref="K529:K532" si="1369">F529*G529*J529*D529*E529</f>
        <v>1.272</v>
      </c>
      <c r="L529" s="948">
        <f t="shared" ref="L529:L532" si="1370">(2*J529)*F529*E529*D529</f>
        <v>8.48</v>
      </c>
      <c r="M529" s="952"/>
      <c r="N529" s="950">
        <v>16</v>
      </c>
      <c r="O529" s="950">
        <v>16</v>
      </c>
      <c r="P529" s="950">
        <v>16</v>
      </c>
      <c r="Q529" s="950">
        <v>16</v>
      </c>
      <c r="R529" s="950">
        <v>16</v>
      </c>
      <c r="S529" s="950">
        <v>16</v>
      </c>
      <c r="T529" s="950">
        <v>8</v>
      </c>
      <c r="U529" s="950"/>
      <c r="V529" s="950"/>
      <c r="W529" s="950">
        <v>200</v>
      </c>
      <c r="X529" s="950">
        <v>100</v>
      </c>
      <c r="Y529" s="950">
        <v>100</v>
      </c>
      <c r="Z529" s="950">
        <v>9</v>
      </c>
      <c r="AA529" s="950">
        <v>6</v>
      </c>
      <c r="AB529" s="950">
        <v>4</v>
      </c>
      <c r="AC529" s="950">
        <v>4</v>
      </c>
      <c r="AD529" s="950">
        <v>9</v>
      </c>
      <c r="AE529" s="950">
        <v>6</v>
      </c>
      <c r="AF529" s="955">
        <f t="shared" ref="AF529:AF532" si="1371">(F529/4)/(W529/1000)+1</f>
        <v>11</v>
      </c>
      <c r="AG529" s="955">
        <f t="shared" ref="AG529:AG532" si="1372">(F529/2)/(X529/1000)+1</f>
        <v>41</v>
      </c>
      <c r="AH529" s="955">
        <f t="shared" ref="AH529:AH532" si="1373">(F529/4)/(Y529/1000)+1</f>
        <v>21</v>
      </c>
      <c r="AI529" s="955">
        <v>0</v>
      </c>
      <c r="AJ529" s="955">
        <v>0</v>
      </c>
      <c r="AK529" s="948">
        <f t="shared" ref="AK529:AK532" si="1374">(F529/4)+(20*N529/1000)+(10*N529/1000)+(8*N529/1000)+(6*2*N529/1000)</f>
        <v>2.8000000000000003</v>
      </c>
      <c r="AL529" s="948">
        <f t="shared" ref="AL529:AL532" si="1375">(F529/4)+(20*O529/1000)+(10*O529/1000)+(8*O529/1000)+(6*2*O529/1000)</f>
        <v>2.8000000000000003</v>
      </c>
      <c r="AM529" s="948">
        <f t="shared" ref="AM529:AM532" si="1376">(F529/2)+(20*P529/1000)+(6*2*P529/1000)</f>
        <v>4.5120000000000005</v>
      </c>
      <c r="AN529" s="948">
        <f t="shared" ref="AN529:AN532" si="1377">(F529/2)+(20*Q529/1000)+(6*2*Q529/1000)</f>
        <v>4.5120000000000005</v>
      </c>
      <c r="AO529" s="948">
        <f t="shared" ref="AO529:AO532" si="1378">(F529/4)+(20*R529/1000)+(10*R529/1000)+(8*R529/1000)+(6*2*R529/1000)</f>
        <v>2.8000000000000003</v>
      </c>
      <c r="AP529" s="948">
        <f t="shared" ref="AP529:AP532" si="1379">(F529/4)+(20*S529/1000)+(10*S529/1000)+(8*S529/1000)+(6*2*S529/1000)</f>
        <v>2.8000000000000003</v>
      </c>
      <c r="AQ529" s="948">
        <f t="shared" ref="AQ529:AQ532" si="1380">(2*G529)+(2*H529)+(6*T529/1000)-(8*0.03)</f>
        <v>1.708</v>
      </c>
      <c r="AR529" s="948">
        <f t="shared" ref="AR529:AR532" si="1381">((H529)+(2*6*U529/1000)-(2*0.03))*AI529</f>
        <v>0</v>
      </c>
      <c r="AS529" s="948">
        <f t="shared" ref="AS529:AS532" si="1382">((G529)+(2*6*V529/1000)-(2*0.03))*AJ529</f>
        <v>0</v>
      </c>
      <c r="AT529" s="948">
        <f t="shared" ref="AT529:AT532" si="1383">AK529*Z529*E529*D529</f>
        <v>25.200000000000003</v>
      </c>
      <c r="AU529" s="948">
        <f t="shared" ref="AU529:AU532" si="1384">AL529*AA529*E529*D529</f>
        <v>16.8</v>
      </c>
      <c r="AV529" s="948">
        <f t="shared" ref="AV529:AV532" si="1385">AM529*AB529*E529*D529</f>
        <v>18.048000000000002</v>
      </c>
      <c r="AW529" s="948">
        <f t="shared" ref="AW529:AW532" si="1386">AN529*AC529*E529*D529</f>
        <v>18.048000000000002</v>
      </c>
      <c r="AX529" s="948">
        <f t="shared" ref="AX529:AX532" si="1387">AO529*AD529*E529*D529</f>
        <v>25.200000000000003</v>
      </c>
      <c r="AY529" s="948">
        <f t="shared" ref="AY529:AY532" si="1388">AP529*AE529*E529*D529</f>
        <v>16.8</v>
      </c>
      <c r="AZ529" s="948">
        <f t="shared" ref="AZ529:AZ532" si="1389">AQ529*(AF529+AG529+AH529)*E529*D529</f>
        <v>124.684</v>
      </c>
      <c r="BA529" s="948">
        <f t="shared" ref="BA529:BA532" si="1390">AR529*(AF529+AG529+AH529)*E529*D529</f>
        <v>0</v>
      </c>
      <c r="BB529" s="948">
        <f t="shared" ref="BB529:BB532" si="1391">AS529*(AF529+AG529+AH529)*E529*D529</f>
        <v>0</v>
      </c>
      <c r="BC529" s="957">
        <f t="shared" ref="BC529:BK532" si="1392">N529*N529*0.074/12</f>
        <v>1.5786666666666667</v>
      </c>
      <c r="BD529" s="957">
        <f t="shared" si="1392"/>
        <v>1.5786666666666667</v>
      </c>
      <c r="BE529" s="957">
        <f t="shared" si="1392"/>
        <v>1.5786666666666667</v>
      </c>
      <c r="BF529" s="957">
        <f t="shared" si="1392"/>
        <v>1.5786666666666667</v>
      </c>
      <c r="BG529" s="957">
        <f t="shared" si="1392"/>
        <v>1.5786666666666667</v>
      </c>
      <c r="BH529" s="957">
        <f t="shared" si="1392"/>
        <v>1.5786666666666667</v>
      </c>
      <c r="BI529" s="957">
        <f t="shared" si="1392"/>
        <v>0.39466666666666667</v>
      </c>
      <c r="BJ529" s="957">
        <f t="shared" si="1392"/>
        <v>0</v>
      </c>
      <c r="BK529" s="957">
        <f t="shared" si="1392"/>
        <v>0</v>
      </c>
      <c r="BL529" s="948">
        <f t="shared" ref="BL529:BR532" si="1393">AT529*BC529</f>
        <v>39.782400000000003</v>
      </c>
      <c r="BM529" s="948">
        <f t="shared" si="1393"/>
        <v>26.521599999999999</v>
      </c>
      <c r="BN529" s="948">
        <f t="shared" si="1393"/>
        <v>28.491776000000002</v>
      </c>
      <c r="BO529" s="948">
        <f t="shared" si="1393"/>
        <v>28.491776000000002</v>
      </c>
      <c r="BP529" s="948">
        <f t="shared" si="1393"/>
        <v>39.782400000000003</v>
      </c>
      <c r="BQ529" s="948">
        <f t="shared" si="1393"/>
        <v>26.521599999999999</v>
      </c>
      <c r="BR529" s="948">
        <f t="shared" si="1393"/>
        <v>49.208618666666666</v>
      </c>
      <c r="BS529" s="948">
        <f>BB529*BK529</f>
        <v>0</v>
      </c>
      <c r="BT529" s="955">
        <f>SUM(BL529:BS529)/K529</f>
        <v>187.73598322851154</v>
      </c>
    </row>
    <row r="530" spans="1:72">
      <c r="A530" s="952">
        <v>9</v>
      </c>
      <c r="B530" s="952" t="s">
        <v>1180</v>
      </c>
      <c r="C530" s="950" t="s">
        <v>1127</v>
      </c>
      <c r="D530" s="950">
        <v>1</v>
      </c>
      <c r="E530" s="950">
        <v>1</v>
      </c>
      <c r="F530" s="948">
        <v>8.4</v>
      </c>
      <c r="G530" s="948">
        <v>0.3</v>
      </c>
      <c r="H530" s="948">
        <v>0.65</v>
      </c>
      <c r="I530" s="948">
        <v>0.12</v>
      </c>
      <c r="J530" s="948">
        <f t="shared" si="1368"/>
        <v>0.53</v>
      </c>
      <c r="K530" s="948">
        <f t="shared" si="1369"/>
        <v>1.3356000000000001</v>
      </c>
      <c r="L530" s="948">
        <f t="shared" si="1370"/>
        <v>8.9040000000000017</v>
      </c>
      <c r="M530" s="952"/>
      <c r="N530" s="950">
        <v>16</v>
      </c>
      <c r="O530" s="950">
        <v>16</v>
      </c>
      <c r="P530" s="950">
        <v>16</v>
      </c>
      <c r="Q530" s="950">
        <v>16</v>
      </c>
      <c r="R530" s="950">
        <v>16</v>
      </c>
      <c r="S530" s="950">
        <v>16</v>
      </c>
      <c r="T530" s="950">
        <v>8</v>
      </c>
      <c r="U530" s="950"/>
      <c r="V530" s="950"/>
      <c r="W530" s="950">
        <v>200</v>
      </c>
      <c r="X530" s="950">
        <v>100</v>
      </c>
      <c r="Y530" s="950">
        <v>100</v>
      </c>
      <c r="Z530" s="950">
        <v>9</v>
      </c>
      <c r="AA530" s="950">
        <v>6</v>
      </c>
      <c r="AB530" s="950">
        <v>4</v>
      </c>
      <c r="AC530" s="950">
        <v>4</v>
      </c>
      <c r="AD530" s="950">
        <v>9</v>
      </c>
      <c r="AE530" s="950">
        <v>6</v>
      </c>
      <c r="AF530" s="955">
        <f t="shared" si="1371"/>
        <v>11.5</v>
      </c>
      <c r="AG530" s="955">
        <f t="shared" si="1372"/>
        <v>43</v>
      </c>
      <c r="AH530" s="955">
        <f t="shared" si="1373"/>
        <v>22</v>
      </c>
      <c r="AI530" s="955">
        <v>0</v>
      </c>
      <c r="AJ530" s="955">
        <v>0</v>
      </c>
      <c r="AK530" s="948">
        <f t="shared" si="1374"/>
        <v>2.9000000000000004</v>
      </c>
      <c r="AL530" s="948">
        <f t="shared" si="1375"/>
        <v>2.9000000000000004</v>
      </c>
      <c r="AM530" s="948">
        <f t="shared" si="1376"/>
        <v>4.7120000000000006</v>
      </c>
      <c r="AN530" s="948">
        <f t="shared" si="1377"/>
        <v>4.7120000000000006</v>
      </c>
      <c r="AO530" s="948">
        <f t="shared" si="1378"/>
        <v>2.9000000000000004</v>
      </c>
      <c r="AP530" s="948">
        <f t="shared" si="1379"/>
        <v>2.9000000000000004</v>
      </c>
      <c r="AQ530" s="948">
        <f t="shared" si="1380"/>
        <v>1.708</v>
      </c>
      <c r="AR530" s="948">
        <f t="shared" si="1381"/>
        <v>0</v>
      </c>
      <c r="AS530" s="948">
        <f t="shared" si="1382"/>
        <v>0</v>
      </c>
      <c r="AT530" s="948">
        <f t="shared" si="1383"/>
        <v>26.1</v>
      </c>
      <c r="AU530" s="948">
        <f t="shared" si="1384"/>
        <v>17.400000000000002</v>
      </c>
      <c r="AV530" s="948">
        <f t="shared" si="1385"/>
        <v>18.848000000000003</v>
      </c>
      <c r="AW530" s="948">
        <f t="shared" si="1386"/>
        <v>18.848000000000003</v>
      </c>
      <c r="AX530" s="948">
        <f t="shared" si="1387"/>
        <v>26.1</v>
      </c>
      <c r="AY530" s="948">
        <f t="shared" si="1388"/>
        <v>17.400000000000002</v>
      </c>
      <c r="AZ530" s="948">
        <f t="shared" si="1389"/>
        <v>130.66200000000001</v>
      </c>
      <c r="BA530" s="948">
        <f t="shared" si="1390"/>
        <v>0</v>
      </c>
      <c r="BB530" s="948">
        <f t="shared" si="1391"/>
        <v>0</v>
      </c>
      <c r="BC530" s="957">
        <f t="shared" si="1392"/>
        <v>1.5786666666666667</v>
      </c>
      <c r="BD530" s="957">
        <f t="shared" si="1392"/>
        <v>1.5786666666666667</v>
      </c>
      <c r="BE530" s="957">
        <f t="shared" si="1392"/>
        <v>1.5786666666666667</v>
      </c>
      <c r="BF530" s="957">
        <f t="shared" si="1392"/>
        <v>1.5786666666666667</v>
      </c>
      <c r="BG530" s="957">
        <f t="shared" si="1392"/>
        <v>1.5786666666666667</v>
      </c>
      <c r="BH530" s="957">
        <f t="shared" si="1392"/>
        <v>1.5786666666666667</v>
      </c>
      <c r="BI530" s="957">
        <f t="shared" si="1392"/>
        <v>0.39466666666666667</v>
      </c>
      <c r="BJ530" s="957">
        <f t="shared" si="1392"/>
        <v>0</v>
      </c>
      <c r="BK530" s="957">
        <f t="shared" si="1392"/>
        <v>0</v>
      </c>
      <c r="BL530" s="948">
        <f t="shared" si="1393"/>
        <v>41.203200000000002</v>
      </c>
      <c r="BM530" s="948">
        <f t="shared" si="1393"/>
        <v>27.468800000000002</v>
      </c>
      <c r="BN530" s="948">
        <f t="shared" si="1393"/>
        <v>29.754709333333338</v>
      </c>
      <c r="BO530" s="948">
        <f t="shared" si="1393"/>
        <v>29.754709333333338</v>
      </c>
      <c r="BP530" s="948">
        <f t="shared" si="1393"/>
        <v>41.203200000000002</v>
      </c>
      <c r="BQ530" s="948">
        <f t="shared" si="1393"/>
        <v>27.468800000000002</v>
      </c>
      <c r="BR530" s="948">
        <f t="shared" si="1393"/>
        <v>51.567936000000003</v>
      </c>
      <c r="BS530" s="948">
        <f>BB530*BK530</f>
        <v>0</v>
      </c>
      <c r="BT530" s="955">
        <f>SUM(BL530:BS530)/K530</f>
        <v>185.99981631226916</v>
      </c>
    </row>
    <row r="531" spans="1:72">
      <c r="A531" s="952">
        <v>10</v>
      </c>
      <c r="B531" s="952" t="s">
        <v>1194</v>
      </c>
      <c r="C531" s="950" t="s">
        <v>1195</v>
      </c>
      <c r="D531" s="950">
        <v>1</v>
      </c>
      <c r="E531" s="950">
        <v>1</v>
      </c>
      <c r="F531" s="948">
        <v>12</v>
      </c>
      <c r="G531" s="948">
        <v>0.35</v>
      </c>
      <c r="H531" s="948">
        <v>0.8</v>
      </c>
      <c r="I531" s="948">
        <v>0.12</v>
      </c>
      <c r="J531" s="948">
        <f t="shared" si="1368"/>
        <v>0.68</v>
      </c>
      <c r="K531" s="948">
        <f t="shared" si="1369"/>
        <v>2.8559999999999999</v>
      </c>
      <c r="L531" s="948">
        <f t="shared" si="1370"/>
        <v>16.32</v>
      </c>
      <c r="M531" s="952"/>
      <c r="N531" s="950">
        <v>25</v>
      </c>
      <c r="O531" s="950">
        <v>25</v>
      </c>
      <c r="P531" s="950">
        <v>25</v>
      </c>
      <c r="Q531" s="950">
        <v>25</v>
      </c>
      <c r="R531" s="950">
        <v>25</v>
      </c>
      <c r="S531" s="950">
        <v>25</v>
      </c>
      <c r="T531" s="950">
        <v>8</v>
      </c>
      <c r="U531" s="950"/>
      <c r="V531" s="950"/>
      <c r="W531" s="950">
        <v>200</v>
      </c>
      <c r="X531" s="950">
        <v>100</v>
      </c>
      <c r="Y531" s="950">
        <v>100</v>
      </c>
      <c r="Z531" s="950">
        <v>9</v>
      </c>
      <c r="AA531" s="950">
        <v>6</v>
      </c>
      <c r="AB531" s="950">
        <v>4</v>
      </c>
      <c r="AC531" s="950">
        <v>4</v>
      </c>
      <c r="AD531" s="950">
        <v>9</v>
      </c>
      <c r="AE531" s="950">
        <v>6</v>
      </c>
      <c r="AF531" s="955">
        <f t="shared" si="1371"/>
        <v>16</v>
      </c>
      <c r="AG531" s="955">
        <f t="shared" si="1372"/>
        <v>61</v>
      </c>
      <c r="AH531" s="955">
        <f t="shared" si="1373"/>
        <v>31</v>
      </c>
      <c r="AI531" s="955">
        <v>0</v>
      </c>
      <c r="AJ531" s="955">
        <v>0</v>
      </c>
      <c r="AK531" s="948">
        <f t="shared" si="1374"/>
        <v>4.25</v>
      </c>
      <c r="AL531" s="948">
        <f t="shared" si="1375"/>
        <v>4.25</v>
      </c>
      <c r="AM531" s="948">
        <f t="shared" si="1376"/>
        <v>6.8</v>
      </c>
      <c r="AN531" s="948">
        <f t="shared" si="1377"/>
        <v>6.8</v>
      </c>
      <c r="AO531" s="948">
        <f t="shared" si="1378"/>
        <v>4.25</v>
      </c>
      <c r="AP531" s="948">
        <f t="shared" si="1379"/>
        <v>4.25</v>
      </c>
      <c r="AQ531" s="948">
        <f t="shared" si="1380"/>
        <v>2.1079999999999997</v>
      </c>
      <c r="AR531" s="948">
        <f t="shared" si="1381"/>
        <v>0</v>
      </c>
      <c r="AS531" s="948">
        <f t="shared" si="1382"/>
        <v>0</v>
      </c>
      <c r="AT531" s="948">
        <f t="shared" si="1383"/>
        <v>38.25</v>
      </c>
      <c r="AU531" s="948">
        <f t="shared" si="1384"/>
        <v>25.5</v>
      </c>
      <c r="AV531" s="948">
        <f t="shared" si="1385"/>
        <v>27.2</v>
      </c>
      <c r="AW531" s="948">
        <f t="shared" si="1386"/>
        <v>27.2</v>
      </c>
      <c r="AX531" s="948">
        <f t="shared" si="1387"/>
        <v>38.25</v>
      </c>
      <c r="AY531" s="948">
        <f t="shared" si="1388"/>
        <v>25.5</v>
      </c>
      <c r="AZ531" s="948">
        <f t="shared" si="1389"/>
        <v>227.66399999999996</v>
      </c>
      <c r="BA531" s="948">
        <f t="shared" si="1390"/>
        <v>0</v>
      </c>
      <c r="BB531" s="948">
        <f t="shared" si="1391"/>
        <v>0</v>
      </c>
      <c r="BC531" s="957">
        <f t="shared" si="1392"/>
        <v>3.8541666666666665</v>
      </c>
      <c r="BD531" s="957">
        <f t="shared" si="1392"/>
        <v>3.8541666666666665</v>
      </c>
      <c r="BE531" s="957">
        <f t="shared" si="1392"/>
        <v>3.8541666666666665</v>
      </c>
      <c r="BF531" s="957">
        <f t="shared" si="1392"/>
        <v>3.8541666666666665</v>
      </c>
      <c r="BG531" s="957">
        <f t="shared" si="1392"/>
        <v>3.8541666666666665</v>
      </c>
      <c r="BH531" s="957">
        <f t="shared" si="1392"/>
        <v>3.8541666666666665</v>
      </c>
      <c r="BI531" s="957">
        <f t="shared" si="1392"/>
        <v>0.39466666666666667</v>
      </c>
      <c r="BJ531" s="957">
        <f t="shared" si="1392"/>
        <v>0</v>
      </c>
      <c r="BK531" s="957">
        <f t="shared" si="1392"/>
        <v>0</v>
      </c>
      <c r="BL531" s="948">
        <f t="shared" si="1393"/>
        <v>147.421875</v>
      </c>
      <c r="BM531" s="948">
        <f t="shared" si="1393"/>
        <v>98.28125</v>
      </c>
      <c r="BN531" s="948">
        <f t="shared" si="1393"/>
        <v>104.83333333333333</v>
      </c>
      <c r="BO531" s="948">
        <f t="shared" si="1393"/>
        <v>104.83333333333333</v>
      </c>
      <c r="BP531" s="948">
        <f t="shared" si="1393"/>
        <v>147.421875</v>
      </c>
      <c r="BQ531" s="948">
        <f t="shared" si="1393"/>
        <v>98.28125</v>
      </c>
      <c r="BR531" s="948">
        <f t="shared" si="1393"/>
        <v>89.85139199999999</v>
      </c>
      <c r="BS531" s="948">
        <f>BB531*BK531</f>
        <v>0</v>
      </c>
      <c r="BT531" s="955">
        <f>SUM(BL531:BS531)/K531</f>
        <v>276.93428174603173</v>
      </c>
    </row>
    <row r="532" spans="1:72">
      <c r="A532" s="952">
        <v>11</v>
      </c>
      <c r="B532" s="952" t="s">
        <v>1196</v>
      </c>
      <c r="C532" s="950" t="s">
        <v>1197</v>
      </c>
      <c r="D532" s="950">
        <v>1</v>
      </c>
      <c r="E532" s="950">
        <v>1</v>
      </c>
      <c r="F532" s="948">
        <v>16</v>
      </c>
      <c r="G532" s="948">
        <v>0.3</v>
      </c>
      <c r="H532" s="948">
        <v>0.7</v>
      </c>
      <c r="I532" s="948">
        <v>0.12</v>
      </c>
      <c r="J532" s="948">
        <f t="shared" si="1368"/>
        <v>0.57999999999999996</v>
      </c>
      <c r="K532" s="948">
        <f t="shared" si="1369"/>
        <v>2.7839999999999998</v>
      </c>
      <c r="L532" s="948">
        <f t="shared" si="1370"/>
        <v>18.559999999999999</v>
      </c>
      <c r="M532" s="952"/>
      <c r="N532" s="950">
        <v>16</v>
      </c>
      <c r="O532" s="950">
        <v>16</v>
      </c>
      <c r="P532" s="950">
        <v>16</v>
      </c>
      <c r="Q532" s="950">
        <v>16</v>
      </c>
      <c r="R532" s="950">
        <v>16</v>
      </c>
      <c r="S532" s="950">
        <v>16</v>
      </c>
      <c r="T532" s="950">
        <v>8</v>
      </c>
      <c r="U532" s="950"/>
      <c r="V532" s="950"/>
      <c r="W532" s="950">
        <v>200</v>
      </c>
      <c r="X532" s="950">
        <v>100</v>
      </c>
      <c r="Y532" s="950">
        <v>100</v>
      </c>
      <c r="Z532" s="950">
        <v>9</v>
      </c>
      <c r="AA532" s="950">
        <v>6</v>
      </c>
      <c r="AB532" s="950">
        <v>4</v>
      </c>
      <c r="AC532" s="950">
        <v>4</v>
      </c>
      <c r="AD532" s="950">
        <v>9</v>
      </c>
      <c r="AE532" s="950">
        <v>6</v>
      </c>
      <c r="AF532" s="955">
        <f t="shared" si="1371"/>
        <v>21</v>
      </c>
      <c r="AG532" s="955">
        <f t="shared" si="1372"/>
        <v>81</v>
      </c>
      <c r="AH532" s="955">
        <f t="shared" si="1373"/>
        <v>41</v>
      </c>
      <c r="AI532" s="955">
        <v>0</v>
      </c>
      <c r="AJ532" s="955">
        <v>0</v>
      </c>
      <c r="AK532" s="948">
        <f t="shared" si="1374"/>
        <v>4.8000000000000007</v>
      </c>
      <c r="AL532" s="948">
        <f t="shared" si="1375"/>
        <v>4.8000000000000007</v>
      </c>
      <c r="AM532" s="948">
        <f t="shared" si="1376"/>
        <v>8.5120000000000005</v>
      </c>
      <c r="AN532" s="948">
        <f t="shared" si="1377"/>
        <v>8.5120000000000005</v>
      </c>
      <c r="AO532" s="948">
        <f t="shared" si="1378"/>
        <v>4.8000000000000007</v>
      </c>
      <c r="AP532" s="948">
        <f t="shared" si="1379"/>
        <v>4.8000000000000007</v>
      </c>
      <c r="AQ532" s="948">
        <f t="shared" si="1380"/>
        <v>1.8080000000000001</v>
      </c>
      <c r="AR532" s="948">
        <f t="shared" si="1381"/>
        <v>0</v>
      </c>
      <c r="AS532" s="948">
        <f t="shared" si="1382"/>
        <v>0</v>
      </c>
      <c r="AT532" s="948">
        <f t="shared" si="1383"/>
        <v>43.2</v>
      </c>
      <c r="AU532" s="948">
        <f t="shared" si="1384"/>
        <v>28.800000000000004</v>
      </c>
      <c r="AV532" s="948">
        <f t="shared" si="1385"/>
        <v>34.048000000000002</v>
      </c>
      <c r="AW532" s="948">
        <f t="shared" si="1386"/>
        <v>34.048000000000002</v>
      </c>
      <c r="AX532" s="948">
        <f t="shared" si="1387"/>
        <v>43.2</v>
      </c>
      <c r="AY532" s="948">
        <f t="shared" si="1388"/>
        <v>28.800000000000004</v>
      </c>
      <c r="AZ532" s="948">
        <f t="shared" si="1389"/>
        <v>258.54399999999998</v>
      </c>
      <c r="BA532" s="948">
        <f t="shared" si="1390"/>
        <v>0</v>
      </c>
      <c r="BB532" s="948">
        <f t="shared" si="1391"/>
        <v>0</v>
      </c>
      <c r="BC532" s="957">
        <f t="shared" si="1392"/>
        <v>1.5786666666666667</v>
      </c>
      <c r="BD532" s="957">
        <f t="shared" si="1392"/>
        <v>1.5786666666666667</v>
      </c>
      <c r="BE532" s="957">
        <f t="shared" si="1392"/>
        <v>1.5786666666666667</v>
      </c>
      <c r="BF532" s="957">
        <f t="shared" si="1392"/>
        <v>1.5786666666666667</v>
      </c>
      <c r="BG532" s="957">
        <f t="shared" si="1392"/>
        <v>1.5786666666666667</v>
      </c>
      <c r="BH532" s="957">
        <f t="shared" si="1392"/>
        <v>1.5786666666666667</v>
      </c>
      <c r="BI532" s="957">
        <f t="shared" si="1392"/>
        <v>0.39466666666666667</v>
      </c>
      <c r="BJ532" s="957">
        <f t="shared" si="1392"/>
        <v>0</v>
      </c>
      <c r="BK532" s="957">
        <f t="shared" si="1392"/>
        <v>0</v>
      </c>
      <c r="BL532" s="948">
        <f t="shared" si="1393"/>
        <v>68.198400000000007</v>
      </c>
      <c r="BM532" s="948">
        <f t="shared" si="1393"/>
        <v>45.465600000000009</v>
      </c>
      <c r="BN532" s="948">
        <f t="shared" si="1393"/>
        <v>53.750442666666672</v>
      </c>
      <c r="BO532" s="948">
        <f t="shared" si="1393"/>
        <v>53.750442666666672</v>
      </c>
      <c r="BP532" s="948">
        <f t="shared" si="1393"/>
        <v>68.198400000000007</v>
      </c>
      <c r="BQ532" s="948">
        <f t="shared" si="1393"/>
        <v>45.465600000000009</v>
      </c>
      <c r="BR532" s="948">
        <f t="shared" si="1393"/>
        <v>102.03869866666666</v>
      </c>
      <c r="BS532" s="948">
        <f>BB532*BK532</f>
        <v>0</v>
      </c>
      <c r="BT532" s="955">
        <f>SUM(BL532:BS532)/K532</f>
        <v>156.92082758620691</v>
      </c>
    </row>
    <row r="533" spans="1:72">
      <c r="A533" s="952"/>
      <c r="B533" s="952"/>
      <c r="C533" s="950"/>
      <c r="D533" s="950"/>
      <c r="E533" s="950"/>
      <c r="F533" s="948"/>
      <c r="G533" s="948"/>
      <c r="H533" s="948"/>
      <c r="I533" s="948"/>
      <c r="J533" s="948"/>
      <c r="K533" s="948">
        <f>SUM(K514:K532)</f>
        <v>68.524200000000022</v>
      </c>
      <c r="L533" s="948">
        <f>SUM(L514:L532)</f>
        <v>484.51200000000006</v>
      </c>
      <c r="M533" s="952"/>
      <c r="N533" s="950"/>
      <c r="O533" s="950"/>
      <c r="P533" s="950"/>
      <c r="Q533" s="950"/>
      <c r="R533" s="950"/>
      <c r="S533" s="950"/>
      <c r="T533" s="950"/>
      <c r="U533" s="950"/>
      <c r="V533" s="950"/>
      <c r="W533" s="950"/>
      <c r="X533" s="950"/>
      <c r="Y533" s="950"/>
      <c r="Z533" s="950"/>
      <c r="AA533" s="950"/>
      <c r="AB533" s="950"/>
      <c r="AC533" s="950"/>
      <c r="AD533" s="950"/>
      <c r="AE533" s="950"/>
      <c r="AF533" s="955"/>
      <c r="AG533" s="955"/>
      <c r="AH533" s="955"/>
      <c r="AI533" s="955"/>
      <c r="AJ533" s="955"/>
      <c r="AK533" s="948"/>
      <c r="AL533" s="948"/>
      <c r="AM533" s="948"/>
      <c r="AN533" s="948"/>
      <c r="AO533" s="948"/>
      <c r="AP533" s="948"/>
      <c r="AQ533" s="948"/>
      <c r="AR533" s="948"/>
      <c r="AS533" s="948"/>
      <c r="AT533" s="948"/>
      <c r="AU533" s="948"/>
      <c r="AV533" s="948"/>
      <c r="AW533" s="948"/>
      <c r="AX533" s="948"/>
      <c r="AY533" s="948"/>
      <c r="AZ533" s="948"/>
      <c r="BA533" s="948"/>
      <c r="BB533" s="948"/>
      <c r="BC533" s="957"/>
      <c r="BD533" s="957"/>
      <c r="BE533" s="957"/>
      <c r="BF533" s="957"/>
      <c r="BG533" s="957"/>
      <c r="BH533" s="957"/>
      <c r="BI533" s="957"/>
      <c r="BJ533" s="957"/>
      <c r="BK533" s="957"/>
      <c r="BL533" s="948"/>
      <c r="BM533" s="948"/>
      <c r="BN533" s="948"/>
      <c r="BO533" s="948"/>
      <c r="BP533" s="948"/>
      <c r="BQ533" s="948"/>
      <c r="BR533" s="948"/>
      <c r="BS533" s="948"/>
      <c r="BT533" s="955"/>
    </row>
  </sheetData>
  <mergeCells count="1135">
    <mergeCell ref="AQ510:AS510"/>
    <mergeCell ref="AT510:AY510"/>
    <mergeCell ref="AZ510:BB510"/>
    <mergeCell ref="BC510:BK510"/>
    <mergeCell ref="N510:S510"/>
    <mergeCell ref="U510:V510"/>
    <mergeCell ref="W510:Y510"/>
    <mergeCell ref="Z510:AE510"/>
    <mergeCell ref="AF510:AJ510"/>
    <mergeCell ref="AK510:AP510"/>
    <mergeCell ref="BG508:BH509"/>
    <mergeCell ref="BJ508:BK508"/>
    <mergeCell ref="BL508:BQ508"/>
    <mergeCell ref="BR508:BS508"/>
    <mergeCell ref="BT508:BT510"/>
    <mergeCell ref="C509:C510"/>
    <mergeCell ref="BL509:BM510"/>
    <mergeCell ref="BN509:BO510"/>
    <mergeCell ref="BP509:BQ510"/>
    <mergeCell ref="BR509:BR510"/>
    <mergeCell ref="AV508:AW509"/>
    <mergeCell ref="AX508:AY509"/>
    <mergeCell ref="AZ508:AZ509"/>
    <mergeCell ref="BA508:BB508"/>
    <mergeCell ref="BC508:BD509"/>
    <mergeCell ref="BE508:BF509"/>
    <mergeCell ref="AK508:AL509"/>
    <mergeCell ref="AM508:AN509"/>
    <mergeCell ref="AO508:AP509"/>
    <mergeCell ref="AQ508:AQ509"/>
    <mergeCell ref="AR508:AS508"/>
    <mergeCell ref="AT508:AU509"/>
    <mergeCell ref="Y508:Y509"/>
    <mergeCell ref="Z508:AA509"/>
    <mergeCell ref="AB508:AC509"/>
    <mergeCell ref="AD508:AE509"/>
    <mergeCell ref="AF508:AH508"/>
    <mergeCell ref="AI508:AJ508"/>
    <mergeCell ref="BL507:BS507"/>
    <mergeCell ref="D508:D509"/>
    <mergeCell ref="E508:E509"/>
    <mergeCell ref="K508:K509"/>
    <mergeCell ref="N508:O509"/>
    <mergeCell ref="P508:Q509"/>
    <mergeCell ref="R508:S509"/>
    <mergeCell ref="U508:V508"/>
    <mergeCell ref="W508:W509"/>
    <mergeCell ref="X508:X509"/>
    <mergeCell ref="AK507:AP507"/>
    <mergeCell ref="AQ507:AS507"/>
    <mergeCell ref="AT507:AY507"/>
    <mergeCell ref="AZ507:BB507"/>
    <mergeCell ref="BC507:BH507"/>
    <mergeCell ref="BI507:BK507"/>
    <mergeCell ref="BC483:BK483"/>
    <mergeCell ref="A507:A510"/>
    <mergeCell ref="B507:B510"/>
    <mergeCell ref="C507:C508"/>
    <mergeCell ref="F507:H507"/>
    <mergeCell ref="N507:S507"/>
    <mergeCell ref="T507:V507"/>
    <mergeCell ref="W507:Y507"/>
    <mergeCell ref="Z507:AE507"/>
    <mergeCell ref="AF507:AJ507"/>
    <mergeCell ref="Z483:AE483"/>
    <mergeCell ref="AF483:AJ483"/>
    <mergeCell ref="AK483:AP483"/>
    <mergeCell ref="AQ483:AS483"/>
    <mergeCell ref="AT483:AY483"/>
    <mergeCell ref="AZ483:BB483"/>
    <mergeCell ref="BR481:BS481"/>
    <mergeCell ref="BT481:BT483"/>
    <mergeCell ref="C482:C483"/>
    <mergeCell ref="BL482:BM483"/>
    <mergeCell ref="BN482:BO483"/>
    <mergeCell ref="BP482:BQ483"/>
    <mergeCell ref="BR482:BR483"/>
    <mergeCell ref="N483:S483"/>
    <mergeCell ref="U483:V483"/>
    <mergeCell ref="W483:Y483"/>
    <mergeCell ref="BA481:BB481"/>
    <mergeCell ref="BC481:BD482"/>
    <mergeCell ref="BE481:BF482"/>
    <mergeCell ref="BG481:BH482"/>
    <mergeCell ref="BJ481:BK481"/>
    <mergeCell ref="BL481:BQ481"/>
    <mergeCell ref="AQ481:AQ482"/>
    <mergeCell ref="AR481:AS481"/>
    <mergeCell ref="AT481:AU482"/>
    <mergeCell ref="AV481:AW482"/>
    <mergeCell ref="AX481:AY482"/>
    <mergeCell ref="AZ481:AZ482"/>
    <mergeCell ref="AD481:AE482"/>
    <mergeCell ref="AF481:AH481"/>
    <mergeCell ref="AI481:AJ481"/>
    <mergeCell ref="AK481:AL482"/>
    <mergeCell ref="AM481:AN482"/>
    <mergeCell ref="AO481:AP482"/>
    <mergeCell ref="U481:V481"/>
    <mergeCell ref="W481:W482"/>
    <mergeCell ref="X481:X482"/>
    <mergeCell ref="Y481:Y482"/>
    <mergeCell ref="Z481:AA482"/>
    <mergeCell ref="AB481:AC482"/>
    <mergeCell ref="AZ480:BB480"/>
    <mergeCell ref="BC480:BH480"/>
    <mergeCell ref="BI480:BK480"/>
    <mergeCell ref="BL480:BS480"/>
    <mergeCell ref="D481:D482"/>
    <mergeCell ref="E481:E482"/>
    <mergeCell ref="K481:K482"/>
    <mergeCell ref="N481:O482"/>
    <mergeCell ref="P481:Q482"/>
    <mergeCell ref="R481:S482"/>
    <mergeCell ref="W480:Y480"/>
    <mergeCell ref="Z480:AE480"/>
    <mergeCell ref="AF480:AJ480"/>
    <mergeCell ref="AK480:AP480"/>
    <mergeCell ref="AQ480:AS480"/>
    <mergeCell ref="AT480:AY480"/>
    <mergeCell ref="AQ456:AS456"/>
    <mergeCell ref="AT456:AY456"/>
    <mergeCell ref="AZ456:BB456"/>
    <mergeCell ref="BC456:BK456"/>
    <mergeCell ref="A480:A483"/>
    <mergeCell ref="B480:B483"/>
    <mergeCell ref="C480:C481"/>
    <mergeCell ref="F480:H480"/>
    <mergeCell ref="N480:S480"/>
    <mergeCell ref="T480:V480"/>
    <mergeCell ref="N456:S456"/>
    <mergeCell ref="U456:V456"/>
    <mergeCell ref="W456:Y456"/>
    <mergeCell ref="Z456:AE456"/>
    <mergeCell ref="AF456:AJ456"/>
    <mergeCell ref="AK456:AP456"/>
    <mergeCell ref="BG454:BH455"/>
    <mergeCell ref="BJ454:BK454"/>
    <mergeCell ref="BL454:BQ454"/>
    <mergeCell ref="BR454:BS454"/>
    <mergeCell ref="BT454:BT456"/>
    <mergeCell ref="C455:C456"/>
    <mergeCell ref="BL455:BM456"/>
    <mergeCell ref="BN455:BO456"/>
    <mergeCell ref="BP455:BQ456"/>
    <mergeCell ref="BR455:BR456"/>
    <mergeCell ref="AV454:AW455"/>
    <mergeCell ref="AX454:AY455"/>
    <mergeCell ref="AZ454:AZ455"/>
    <mergeCell ref="BA454:BB454"/>
    <mergeCell ref="BC454:BD455"/>
    <mergeCell ref="BE454:BF455"/>
    <mergeCell ref="AK454:AL455"/>
    <mergeCell ref="AM454:AN455"/>
    <mergeCell ref="AO454:AP455"/>
    <mergeCell ref="AQ454:AQ455"/>
    <mergeCell ref="AR454:AS454"/>
    <mergeCell ref="AT454:AU455"/>
    <mergeCell ref="Y454:Y455"/>
    <mergeCell ref="Z454:AA455"/>
    <mergeCell ref="AB454:AC455"/>
    <mergeCell ref="AD454:AE455"/>
    <mergeCell ref="AF454:AH454"/>
    <mergeCell ref="AI454:AJ454"/>
    <mergeCell ref="BL453:BS453"/>
    <mergeCell ref="D454:D455"/>
    <mergeCell ref="E454:E455"/>
    <mergeCell ref="K454:K455"/>
    <mergeCell ref="N454:O455"/>
    <mergeCell ref="P454:Q455"/>
    <mergeCell ref="R454:S455"/>
    <mergeCell ref="U454:V454"/>
    <mergeCell ref="W454:W455"/>
    <mergeCell ref="X454:X455"/>
    <mergeCell ref="AK453:AP453"/>
    <mergeCell ref="AQ453:AS453"/>
    <mergeCell ref="AT453:AY453"/>
    <mergeCell ref="AZ453:BB453"/>
    <mergeCell ref="BC453:BH453"/>
    <mergeCell ref="BI453:BK453"/>
    <mergeCell ref="BC429:BK429"/>
    <mergeCell ref="A453:A456"/>
    <mergeCell ref="B453:B456"/>
    <mergeCell ref="C453:C454"/>
    <mergeCell ref="F453:H453"/>
    <mergeCell ref="N453:S453"/>
    <mergeCell ref="T453:V453"/>
    <mergeCell ref="W453:Y453"/>
    <mergeCell ref="Z453:AE453"/>
    <mergeCell ref="AF453:AJ453"/>
    <mergeCell ref="Z429:AE429"/>
    <mergeCell ref="AF429:AJ429"/>
    <mergeCell ref="AK429:AP429"/>
    <mergeCell ref="AQ429:AS429"/>
    <mergeCell ref="AT429:AY429"/>
    <mergeCell ref="AZ429:BB429"/>
    <mergeCell ref="BR427:BS427"/>
    <mergeCell ref="BT427:BT429"/>
    <mergeCell ref="C428:C429"/>
    <mergeCell ref="BL428:BM429"/>
    <mergeCell ref="BN428:BO429"/>
    <mergeCell ref="BP428:BQ429"/>
    <mergeCell ref="BR428:BR429"/>
    <mergeCell ref="N429:S429"/>
    <mergeCell ref="U429:V429"/>
    <mergeCell ref="W429:Y429"/>
    <mergeCell ref="BA427:BB427"/>
    <mergeCell ref="BC427:BD428"/>
    <mergeCell ref="BE427:BF428"/>
    <mergeCell ref="BG427:BH428"/>
    <mergeCell ref="BJ427:BK427"/>
    <mergeCell ref="BL427:BQ427"/>
    <mergeCell ref="AQ427:AQ428"/>
    <mergeCell ref="AR427:AS427"/>
    <mergeCell ref="AT427:AU428"/>
    <mergeCell ref="AV427:AW428"/>
    <mergeCell ref="AX427:AY428"/>
    <mergeCell ref="AZ427:AZ428"/>
    <mergeCell ref="AD427:AE428"/>
    <mergeCell ref="AF427:AH427"/>
    <mergeCell ref="AI427:AJ427"/>
    <mergeCell ref="AK427:AL428"/>
    <mergeCell ref="AM427:AN428"/>
    <mergeCell ref="AO427:AP428"/>
    <mergeCell ref="U427:V427"/>
    <mergeCell ref="W427:W428"/>
    <mergeCell ref="X427:X428"/>
    <mergeCell ref="Y427:Y428"/>
    <mergeCell ref="Z427:AA428"/>
    <mergeCell ref="AB427:AC428"/>
    <mergeCell ref="AZ426:BB426"/>
    <mergeCell ref="BC426:BH426"/>
    <mergeCell ref="BI426:BK426"/>
    <mergeCell ref="BL426:BS426"/>
    <mergeCell ref="D427:D428"/>
    <mergeCell ref="E427:E428"/>
    <mergeCell ref="K427:K428"/>
    <mergeCell ref="N427:O428"/>
    <mergeCell ref="P427:Q428"/>
    <mergeCell ref="R427:S428"/>
    <mergeCell ref="W426:Y426"/>
    <mergeCell ref="Z426:AE426"/>
    <mergeCell ref="AF426:AJ426"/>
    <mergeCell ref="AK426:AP426"/>
    <mergeCell ref="AQ426:AS426"/>
    <mergeCell ref="AT426:AY426"/>
    <mergeCell ref="AQ402:AS402"/>
    <mergeCell ref="AT402:AY402"/>
    <mergeCell ref="AZ402:BB402"/>
    <mergeCell ref="BC402:BK402"/>
    <mergeCell ref="A426:A429"/>
    <mergeCell ref="B426:B429"/>
    <mergeCell ref="C426:C427"/>
    <mergeCell ref="F426:H426"/>
    <mergeCell ref="N426:S426"/>
    <mergeCell ref="T426:V426"/>
    <mergeCell ref="N402:S402"/>
    <mergeCell ref="U402:V402"/>
    <mergeCell ref="W402:Y402"/>
    <mergeCell ref="Z402:AE402"/>
    <mergeCell ref="AF402:AJ402"/>
    <mergeCell ref="AK402:AP402"/>
    <mergeCell ref="BG400:BH401"/>
    <mergeCell ref="BJ400:BK400"/>
    <mergeCell ref="BL400:BQ400"/>
    <mergeCell ref="BR400:BS400"/>
    <mergeCell ref="BT400:BT402"/>
    <mergeCell ref="C401:C402"/>
    <mergeCell ref="BL401:BM402"/>
    <mergeCell ref="BN401:BO402"/>
    <mergeCell ref="BP401:BQ402"/>
    <mergeCell ref="BR401:BR402"/>
    <mergeCell ref="AV400:AW401"/>
    <mergeCell ref="AX400:AY401"/>
    <mergeCell ref="AZ400:AZ401"/>
    <mergeCell ref="BA400:BB400"/>
    <mergeCell ref="BC400:BD401"/>
    <mergeCell ref="BE400:BF401"/>
    <mergeCell ref="AK400:AL401"/>
    <mergeCell ref="AM400:AN401"/>
    <mergeCell ref="AO400:AP401"/>
    <mergeCell ref="AQ400:AQ401"/>
    <mergeCell ref="AR400:AS400"/>
    <mergeCell ref="AT400:AU401"/>
    <mergeCell ref="Y400:Y401"/>
    <mergeCell ref="Z400:AA401"/>
    <mergeCell ref="AB400:AC401"/>
    <mergeCell ref="AD400:AE401"/>
    <mergeCell ref="AF400:AH400"/>
    <mergeCell ref="AI400:AJ400"/>
    <mergeCell ref="BL399:BS399"/>
    <mergeCell ref="D400:D401"/>
    <mergeCell ref="E400:E401"/>
    <mergeCell ref="K400:K401"/>
    <mergeCell ref="N400:O401"/>
    <mergeCell ref="P400:Q401"/>
    <mergeCell ref="R400:S401"/>
    <mergeCell ref="U400:V400"/>
    <mergeCell ref="W400:W401"/>
    <mergeCell ref="X400:X401"/>
    <mergeCell ref="AK399:AP399"/>
    <mergeCell ref="AQ399:AS399"/>
    <mergeCell ref="AT399:AY399"/>
    <mergeCell ref="AZ399:BB399"/>
    <mergeCell ref="BC399:BH399"/>
    <mergeCell ref="BI399:BK399"/>
    <mergeCell ref="BC375:BK375"/>
    <mergeCell ref="A399:A402"/>
    <mergeCell ref="B399:B402"/>
    <mergeCell ref="C399:C400"/>
    <mergeCell ref="F399:H399"/>
    <mergeCell ref="N399:S399"/>
    <mergeCell ref="T399:V399"/>
    <mergeCell ref="W399:Y399"/>
    <mergeCell ref="Z399:AE399"/>
    <mergeCell ref="AF399:AJ399"/>
    <mergeCell ref="Z375:AE375"/>
    <mergeCell ref="AF375:AJ375"/>
    <mergeCell ref="AK375:AP375"/>
    <mergeCell ref="AQ375:AS375"/>
    <mergeCell ref="AT375:AY375"/>
    <mergeCell ref="AZ375:BB375"/>
    <mergeCell ref="BR373:BS373"/>
    <mergeCell ref="BT373:BT375"/>
    <mergeCell ref="C374:C375"/>
    <mergeCell ref="BL374:BM375"/>
    <mergeCell ref="BN374:BO375"/>
    <mergeCell ref="BP374:BQ375"/>
    <mergeCell ref="BR374:BR375"/>
    <mergeCell ref="N375:S375"/>
    <mergeCell ref="U375:V375"/>
    <mergeCell ref="W375:Y375"/>
    <mergeCell ref="BA373:BB373"/>
    <mergeCell ref="BC373:BD374"/>
    <mergeCell ref="BE373:BF374"/>
    <mergeCell ref="BG373:BH374"/>
    <mergeCell ref="BJ373:BK373"/>
    <mergeCell ref="BL373:BQ373"/>
    <mergeCell ref="AQ373:AQ374"/>
    <mergeCell ref="AR373:AS373"/>
    <mergeCell ref="AT373:AU374"/>
    <mergeCell ref="AV373:AW374"/>
    <mergeCell ref="AX373:AY374"/>
    <mergeCell ref="AZ373:AZ374"/>
    <mergeCell ref="AD373:AE374"/>
    <mergeCell ref="AF373:AH373"/>
    <mergeCell ref="AI373:AJ373"/>
    <mergeCell ref="AK373:AL374"/>
    <mergeCell ref="AM373:AN374"/>
    <mergeCell ref="AO373:AP374"/>
    <mergeCell ref="U373:V373"/>
    <mergeCell ref="W373:W374"/>
    <mergeCell ref="X373:X374"/>
    <mergeCell ref="Y373:Y374"/>
    <mergeCell ref="Z373:AA374"/>
    <mergeCell ref="AB373:AC374"/>
    <mergeCell ref="AZ372:BB372"/>
    <mergeCell ref="BC372:BH372"/>
    <mergeCell ref="BI372:BK372"/>
    <mergeCell ref="BL372:BS372"/>
    <mergeCell ref="D373:D374"/>
    <mergeCell ref="E373:E374"/>
    <mergeCell ref="K373:K374"/>
    <mergeCell ref="N373:O374"/>
    <mergeCell ref="P373:Q374"/>
    <mergeCell ref="R373:S374"/>
    <mergeCell ref="W372:Y372"/>
    <mergeCell ref="Z372:AE372"/>
    <mergeCell ref="AF372:AJ372"/>
    <mergeCell ref="AK372:AP372"/>
    <mergeCell ref="AQ372:AS372"/>
    <mergeCell ref="AT372:AY372"/>
    <mergeCell ref="AQ348:AS348"/>
    <mergeCell ref="AT348:AY348"/>
    <mergeCell ref="AZ348:BB348"/>
    <mergeCell ref="BC348:BK348"/>
    <mergeCell ref="A372:A375"/>
    <mergeCell ref="B372:B375"/>
    <mergeCell ref="C372:C373"/>
    <mergeCell ref="F372:H372"/>
    <mergeCell ref="N372:S372"/>
    <mergeCell ref="T372:V372"/>
    <mergeCell ref="N348:S348"/>
    <mergeCell ref="U348:V348"/>
    <mergeCell ref="W348:Y348"/>
    <mergeCell ref="Z348:AE348"/>
    <mergeCell ref="AF348:AJ348"/>
    <mergeCell ref="AK348:AP348"/>
    <mergeCell ref="BG346:BH347"/>
    <mergeCell ref="BJ346:BK346"/>
    <mergeCell ref="BL346:BQ346"/>
    <mergeCell ref="BR346:BS346"/>
    <mergeCell ref="BT346:BT348"/>
    <mergeCell ref="C347:C348"/>
    <mergeCell ref="BL347:BM348"/>
    <mergeCell ref="BN347:BO348"/>
    <mergeCell ref="BP347:BQ348"/>
    <mergeCell ref="BR347:BR348"/>
    <mergeCell ref="AV346:AW347"/>
    <mergeCell ref="AX346:AY347"/>
    <mergeCell ref="AZ346:AZ347"/>
    <mergeCell ref="BA346:BB346"/>
    <mergeCell ref="BC346:BD347"/>
    <mergeCell ref="BE346:BF347"/>
    <mergeCell ref="AK346:AL347"/>
    <mergeCell ref="AM346:AN347"/>
    <mergeCell ref="AO346:AP347"/>
    <mergeCell ref="AQ346:AQ347"/>
    <mergeCell ref="AR346:AS346"/>
    <mergeCell ref="AT346:AU347"/>
    <mergeCell ref="Y346:Y347"/>
    <mergeCell ref="Z346:AA347"/>
    <mergeCell ref="AB346:AC347"/>
    <mergeCell ref="AD346:AE347"/>
    <mergeCell ref="AF346:AH346"/>
    <mergeCell ref="AI346:AJ346"/>
    <mergeCell ref="BL345:BS345"/>
    <mergeCell ref="D346:D347"/>
    <mergeCell ref="E346:E347"/>
    <mergeCell ref="K346:K347"/>
    <mergeCell ref="N346:O347"/>
    <mergeCell ref="P346:Q347"/>
    <mergeCell ref="R346:S347"/>
    <mergeCell ref="U346:V346"/>
    <mergeCell ref="W346:W347"/>
    <mergeCell ref="X346:X347"/>
    <mergeCell ref="AK345:AP345"/>
    <mergeCell ref="AQ345:AS345"/>
    <mergeCell ref="AT345:AY345"/>
    <mergeCell ref="AZ345:BB345"/>
    <mergeCell ref="BC345:BH345"/>
    <mergeCell ref="BI345:BK345"/>
    <mergeCell ref="BC321:BK321"/>
    <mergeCell ref="A345:A348"/>
    <mergeCell ref="B345:B348"/>
    <mergeCell ref="C345:C346"/>
    <mergeCell ref="F345:H345"/>
    <mergeCell ref="N345:S345"/>
    <mergeCell ref="T345:V345"/>
    <mergeCell ref="W345:Y345"/>
    <mergeCell ref="Z345:AE345"/>
    <mergeCell ref="AF345:AJ345"/>
    <mergeCell ref="Z321:AE321"/>
    <mergeCell ref="AF321:AJ321"/>
    <mergeCell ref="AK321:AP321"/>
    <mergeCell ref="AQ321:AS321"/>
    <mergeCell ref="AT321:AY321"/>
    <mergeCell ref="AZ321:BB321"/>
    <mergeCell ref="BR319:BS319"/>
    <mergeCell ref="BT319:BT321"/>
    <mergeCell ref="C320:C321"/>
    <mergeCell ref="BL320:BM321"/>
    <mergeCell ref="BN320:BO321"/>
    <mergeCell ref="BP320:BQ321"/>
    <mergeCell ref="BR320:BR321"/>
    <mergeCell ref="N321:S321"/>
    <mergeCell ref="U321:V321"/>
    <mergeCell ref="W321:Y321"/>
    <mergeCell ref="BA319:BB319"/>
    <mergeCell ref="BC319:BD320"/>
    <mergeCell ref="BE319:BF320"/>
    <mergeCell ref="BG319:BH320"/>
    <mergeCell ref="BJ319:BK319"/>
    <mergeCell ref="BL319:BQ319"/>
    <mergeCell ref="AQ319:AQ320"/>
    <mergeCell ref="AR319:AS319"/>
    <mergeCell ref="AT319:AU320"/>
    <mergeCell ref="AV319:AW320"/>
    <mergeCell ref="AX319:AY320"/>
    <mergeCell ref="AZ319:AZ320"/>
    <mergeCell ref="AD319:AE320"/>
    <mergeCell ref="AF319:AH319"/>
    <mergeCell ref="AI319:AJ319"/>
    <mergeCell ref="AK319:AL320"/>
    <mergeCell ref="AM319:AN320"/>
    <mergeCell ref="AO319:AP320"/>
    <mergeCell ref="U319:V319"/>
    <mergeCell ref="W319:W320"/>
    <mergeCell ref="X319:X320"/>
    <mergeCell ref="Y319:Y320"/>
    <mergeCell ref="Z319:AA320"/>
    <mergeCell ref="AB319:AC320"/>
    <mergeCell ref="AZ318:BB318"/>
    <mergeCell ref="BC318:BH318"/>
    <mergeCell ref="BI318:BK318"/>
    <mergeCell ref="BL318:BS318"/>
    <mergeCell ref="D319:D320"/>
    <mergeCell ref="E319:E320"/>
    <mergeCell ref="K319:K320"/>
    <mergeCell ref="N319:O320"/>
    <mergeCell ref="P319:Q320"/>
    <mergeCell ref="R319:S320"/>
    <mergeCell ref="W318:Y318"/>
    <mergeCell ref="Z318:AE318"/>
    <mergeCell ref="AF318:AJ318"/>
    <mergeCell ref="AK318:AP318"/>
    <mergeCell ref="AQ318:AS318"/>
    <mergeCell ref="AT318:AY318"/>
    <mergeCell ref="AQ294:AS294"/>
    <mergeCell ref="AT294:AY294"/>
    <mergeCell ref="AZ294:BB294"/>
    <mergeCell ref="BC294:BK294"/>
    <mergeCell ref="A318:A321"/>
    <mergeCell ref="B318:B321"/>
    <mergeCell ref="C318:C319"/>
    <mergeCell ref="F318:H318"/>
    <mergeCell ref="N318:S318"/>
    <mergeCell ref="T318:V318"/>
    <mergeCell ref="N294:S294"/>
    <mergeCell ref="U294:V294"/>
    <mergeCell ref="W294:Y294"/>
    <mergeCell ref="Z294:AE294"/>
    <mergeCell ref="AF294:AJ294"/>
    <mergeCell ref="AK294:AP294"/>
    <mergeCell ref="BG292:BH293"/>
    <mergeCell ref="BJ292:BK292"/>
    <mergeCell ref="BL292:BQ292"/>
    <mergeCell ref="BR292:BS292"/>
    <mergeCell ref="BT292:BT294"/>
    <mergeCell ref="C293:C294"/>
    <mergeCell ref="BL293:BM294"/>
    <mergeCell ref="BN293:BO294"/>
    <mergeCell ref="BP293:BQ294"/>
    <mergeCell ref="BR293:BR294"/>
    <mergeCell ref="AV292:AW293"/>
    <mergeCell ref="AX292:AY293"/>
    <mergeCell ref="AZ292:AZ293"/>
    <mergeCell ref="BA292:BB292"/>
    <mergeCell ref="BC292:BD293"/>
    <mergeCell ref="BE292:BF293"/>
    <mergeCell ref="AK292:AL293"/>
    <mergeCell ref="AM292:AN293"/>
    <mergeCell ref="AO292:AP293"/>
    <mergeCell ref="AQ292:AQ293"/>
    <mergeCell ref="AR292:AS292"/>
    <mergeCell ref="AT292:AU293"/>
    <mergeCell ref="Y292:Y293"/>
    <mergeCell ref="Z292:AA293"/>
    <mergeCell ref="AB292:AC293"/>
    <mergeCell ref="AD292:AE293"/>
    <mergeCell ref="AF292:AH292"/>
    <mergeCell ref="AI292:AJ292"/>
    <mergeCell ref="BL291:BS291"/>
    <mergeCell ref="D292:D293"/>
    <mergeCell ref="E292:E293"/>
    <mergeCell ref="K292:K293"/>
    <mergeCell ref="N292:O293"/>
    <mergeCell ref="P292:Q293"/>
    <mergeCell ref="R292:S293"/>
    <mergeCell ref="U292:V292"/>
    <mergeCell ref="W292:W293"/>
    <mergeCell ref="X292:X293"/>
    <mergeCell ref="AK291:AP291"/>
    <mergeCell ref="AQ291:AS291"/>
    <mergeCell ref="AT291:AY291"/>
    <mergeCell ref="AZ291:BB291"/>
    <mergeCell ref="BC291:BH291"/>
    <mergeCell ref="BI291:BK291"/>
    <mergeCell ref="BC267:BK267"/>
    <mergeCell ref="A291:A294"/>
    <mergeCell ref="B291:B294"/>
    <mergeCell ref="C291:C292"/>
    <mergeCell ref="F291:H291"/>
    <mergeCell ref="N291:S291"/>
    <mergeCell ref="T291:V291"/>
    <mergeCell ref="W291:Y291"/>
    <mergeCell ref="Z291:AE291"/>
    <mergeCell ref="AF291:AJ291"/>
    <mergeCell ref="Z267:AE267"/>
    <mergeCell ref="AF267:AJ267"/>
    <mergeCell ref="AK267:AP267"/>
    <mergeCell ref="AQ267:AS267"/>
    <mergeCell ref="AT267:AY267"/>
    <mergeCell ref="AZ267:BB267"/>
    <mergeCell ref="BR265:BS265"/>
    <mergeCell ref="BT265:BT267"/>
    <mergeCell ref="C266:C267"/>
    <mergeCell ref="BL266:BM267"/>
    <mergeCell ref="BN266:BO267"/>
    <mergeCell ref="BP266:BQ267"/>
    <mergeCell ref="BR266:BR267"/>
    <mergeCell ref="N267:S267"/>
    <mergeCell ref="U267:V267"/>
    <mergeCell ref="W267:Y267"/>
    <mergeCell ref="BA265:BB265"/>
    <mergeCell ref="BC265:BD266"/>
    <mergeCell ref="BE265:BF266"/>
    <mergeCell ref="BG265:BH266"/>
    <mergeCell ref="BJ265:BK265"/>
    <mergeCell ref="BL265:BQ265"/>
    <mergeCell ref="AQ265:AQ266"/>
    <mergeCell ref="AR265:AS265"/>
    <mergeCell ref="AT265:AU266"/>
    <mergeCell ref="AV265:AW266"/>
    <mergeCell ref="AX265:AY266"/>
    <mergeCell ref="AZ265:AZ266"/>
    <mergeCell ref="AD265:AE266"/>
    <mergeCell ref="AF265:AH265"/>
    <mergeCell ref="AI265:AJ265"/>
    <mergeCell ref="AK265:AL266"/>
    <mergeCell ref="AM265:AN266"/>
    <mergeCell ref="AO265:AP266"/>
    <mergeCell ref="U265:V265"/>
    <mergeCell ref="W265:W266"/>
    <mergeCell ref="X265:X266"/>
    <mergeCell ref="Y265:Y266"/>
    <mergeCell ref="Z265:AA266"/>
    <mergeCell ref="AB265:AC266"/>
    <mergeCell ref="AZ264:BB264"/>
    <mergeCell ref="BC264:BH264"/>
    <mergeCell ref="BI264:BK264"/>
    <mergeCell ref="BL264:BS264"/>
    <mergeCell ref="D265:D266"/>
    <mergeCell ref="E265:E266"/>
    <mergeCell ref="K265:K266"/>
    <mergeCell ref="N265:O266"/>
    <mergeCell ref="P265:Q266"/>
    <mergeCell ref="R265:S266"/>
    <mergeCell ref="W264:Y264"/>
    <mergeCell ref="Z264:AE264"/>
    <mergeCell ref="AF264:AJ264"/>
    <mergeCell ref="AK264:AP264"/>
    <mergeCell ref="AQ264:AS264"/>
    <mergeCell ref="AT264:AY264"/>
    <mergeCell ref="AQ243:AS243"/>
    <mergeCell ref="AT243:AY243"/>
    <mergeCell ref="AZ243:BB243"/>
    <mergeCell ref="BC243:BK243"/>
    <mergeCell ref="A264:A267"/>
    <mergeCell ref="B264:B267"/>
    <mergeCell ref="C264:C265"/>
    <mergeCell ref="F264:H264"/>
    <mergeCell ref="N264:S264"/>
    <mergeCell ref="T264:V264"/>
    <mergeCell ref="N243:S243"/>
    <mergeCell ref="U243:V243"/>
    <mergeCell ref="W243:Y243"/>
    <mergeCell ref="Z243:AE243"/>
    <mergeCell ref="AF243:AJ243"/>
    <mergeCell ref="AK243:AP243"/>
    <mergeCell ref="BG241:BH242"/>
    <mergeCell ref="BJ241:BK241"/>
    <mergeCell ref="BL241:BQ241"/>
    <mergeCell ref="BR241:BS241"/>
    <mergeCell ref="BT241:BT243"/>
    <mergeCell ref="C242:C243"/>
    <mergeCell ref="BL242:BM243"/>
    <mergeCell ref="BN242:BO243"/>
    <mergeCell ref="BP242:BQ243"/>
    <mergeCell ref="BR242:BR243"/>
    <mergeCell ref="AV241:AW242"/>
    <mergeCell ref="AX241:AY242"/>
    <mergeCell ref="AZ241:AZ242"/>
    <mergeCell ref="BA241:BB241"/>
    <mergeCell ref="BC241:BD242"/>
    <mergeCell ref="BE241:BF242"/>
    <mergeCell ref="AK241:AL242"/>
    <mergeCell ref="AM241:AN242"/>
    <mergeCell ref="AO241:AP242"/>
    <mergeCell ref="AQ241:AQ242"/>
    <mergeCell ref="AR241:AS241"/>
    <mergeCell ref="AT241:AU242"/>
    <mergeCell ref="Y241:Y242"/>
    <mergeCell ref="Z241:AA242"/>
    <mergeCell ref="AB241:AC242"/>
    <mergeCell ref="AD241:AE242"/>
    <mergeCell ref="AF241:AH241"/>
    <mergeCell ref="AI241:AJ241"/>
    <mergeCell ref="BL240:BS240"/>
    <mergeCell ref="D241:D242"/>
    <mergeCell ref="E241:E242"/>
    <mergeCell ref="K241:K242"/>
    <mergeCell ref="N241:O242"/>
    <mergeCell ref="P241:Q242"/>
    <mergeCell ref="R241:S242"/>
    <mergeCell ref="U241:V241"/>
    <mergeCell ref="W241:W242"/>
    <mergeCell ref="X241:X242"/>
    <mergeCell ref="AK240:AP240"/>
    <mergeCell ref="AQ240:AS240"/>
    <mergeCell ref="AT240:AY240"/>
    <mergeCell ref="AZ240:BB240"/>
    <mergeCell ref="BC240:BH240"/>
    <mergeCell ref="BI240:BK240"/>
    <mergeCell ref="BC219:BK219"/>
    <mergeCell ref="A240:A243"/>
    <mergeCell ref="B240:B243"/>
    <mergeCell ref="C240:C241"/>
    <mergeCell ref="F240:H240"/>
    <mergeCell ref="N240:S240"/>
    <mergeCell ref="T240:V240"/>
    <mergeCell ref="W240:Y240"/>
    <mergeCell ref="Z240:AE240"/>
    <mergeCell ref="AF240:AJ240"/>
    <mergeCell ref="Z219:AE219"/>
    <mergeCell ref="AF219:AJ219"/>
    <mergeCell ref="AK219:AP219"/>
    <mergeCell ref="AQ219:AS219"/>
    <mergeCell ref="AT219:AY219"/>
    <mergeCell ref="AZ219:BB219"/>
    <mergeCell ref="BR217:BS217"/>
    <mergeCell ref="BT217:BT219"/>
    <mergeCell ref="C218:C219"/>
    <mergeCell ref="BL218:BM219"/>
    <mergeCell ref="BN218:BO219"/>
    <mergeCell ref="BP218:BQ219"/>
    <mergeCell ref="BR218:BR219"/>
    <mergeCell ref="N219:S219"/>
    <mergeCell ref="U219:V219"/>
    <mergeCell ref="W219:Y219"/>
    <mergeCell ref="BA217:BB217"/>
    <mergeCell ref="BC217:BD218"/>
    <mergeCell ref="BE217:BF218"/>
    <mergeCell ref="BG217:BH218"/>
    <mergeCell ref="BJ217:BK217"/>
    <mergeCell ref="BL217:BQ217"/>
    <mergeCell ref="AQ217:AQ218"/>
    <mergeCell ref="AR217:AS217"/>
    <mergeCell ref="AT217:AU218"/>
    <mergeCell ref="AV217:AW218"/>
    <mergeCell ref="AX217:AY218"/>
    <mergeCell ref="AZ217:AZ218"/>
    <mergeCell ref="AD217:AE218"/>
    <mergeCell ref="AF217:AH217"/>
    <mergeCell ref="AI217:AJ217"/>
    <mergeCell ref="AK217:AL218"/>
    <mergeCell ref="AM217:AN218"/>
    <mergeCell ref="AO217:AP218"/>
    <mergeCell ref="U217:V217"/>
    <mergeCell ref="W217:W218"/>
    <mergeCell ref="X217:X218"/>
    <mergeCell ref="Y217:Y218"/>
    <mergeCell ref="Z217:AA218"/>
    <mergeCell ref="AB217:AC218"/>
    <mergeCell ref="AZ216:BB216"/>
    <mergeCell ref="BC216:BH216"/>
    <mergeCell ref="BI216:BK216"/>
    <mergeCell ref="BL216:BS216"/>
    <mergeCell ref="D217:D218"/>
    <mergeCell ref="E217:E218"/>
    <mergeCell ref="K217:K218"/>
    <mergeCell ref="N217:O218"/>
    <mergeCell ref="P217:Q218"/>
    <mergeCell ref="R217:S218"/>
    <mergeCell ref="W216:Y216"/>
    <mergeCell ref="Z216:AE216"/>
    <mergeCell ref="AF216:AJ216"/>
    <mergeCell ref="AK216:AP216"/>
    <mergeCell ref="AQ216:AS216"/>
    <mergeCell ref="AT216:AY216"/>
    <mergeCell ref="AQ195:AS195"/>
    <mergeCell ref="AT195:AY195"/>
    <mergeCell ref="AZ195:BB195"/>
    <mergeCell ref="BC195:BK195"/>
    <mergeCell ref="A216:A219"/>
    <mergeCell ref="B216:B219"/>
    <mergeCell ref="C216:C217"/>
    <mergeCell ref="F216:H216"/>
    <mergeCell ref="N216:S216"/>
    <mergeCell ref="T216:V216"/>
    <mergeCell ref="N195:S195"/>
    <mergeCell ref="U195:V195"/>
    <mergeCell ref="W195:Y195"/>
    <mergeCell ref="Z195:AE195"/>
    <mergeCell ref="AF195:AJ195"/>
    <mergeCell ref="AK195:AP195"/>
    <mergeCell ref="BG193:BH194"/>
    <mergeCell ref="BJ193:BK193"/>
    <mergeCell ref="BL193:BQ193"/>
    <mergeCell ref="BR193:BS193"/>
    <mergeCell ref="BT193:BT195"/>
    <mergeCell ref="C194:C195"/>
    <mergeCell ref="BL194:BM195"/>
    <mergeCell ref="BN194:BO195"/>
    <mergeCell ref="BP194:BQ195"/>
    <mergeCell ref="BR194:BR195"/>
    <mergeCell ref="AV193:AW194"/>
    <mergeCell ref="AX193:AY194"/>
    <mergeCell ref="AZ193:AZ194"/>
    <mergeCell ref="BA193:BB193"/>
    <mergeCell ref="BC193:BD194"/>
    <mergeCell ref="BE193:BF194"/>
    <mergeCell ref="AK193:AL194"/>
    <mergeCell ref="AM193:AN194"/>
    <mergeCell ref="AO193:AP194"/>
    <mergeCell ref="AQ193:AQ194"/>
    <mergeCell ref="AR193:AS193"/>
    <mergeCell ref="AT193:AU194"/>
    <mergeCell ref="Y193:Y194"/>
    <mergeCell ref="Z193:AA194"/>
    <mergeCell ref="AB193:AC194"/>
    <mergeCell ref="AD193:AE194"/>
    <mergeCell ref="AF193:AH193"/>
    <mergeCell ref="AI193:AJ193"/>
    <mergeCell ref="BL192:BS192"/>
    <mergeCell ref="D193:D194"/>
    <mergeCell ref="E193:E194"/>
    <mergeCell ref="K193:K194"/>
    <mergeCell ref="N193:O194"/>
    <mergeCell ref="P193:Q194"/>
    <mergeCell ref="R193:S194"/>
    <mergeCell ref="U193:V193"/>
    <mergeCell ref="W193:W194"/>
    <mergeCell ref="X193:X194"/>
    <mergeCell ref="AK192:AP192"/>
    <mergeCell ref="AQ192:AS192"/>
    <mergeCell ref="AT192:AY192"/>
    <mergeCell ref="AZ192:BB192"/>
    <mergeCell ref="BC192:BH192"/>
    <mergeCell ref="BI192:BK192"/>
    <mergeCell ref="BC158:BK158"/>
    <mergeCell ref="A192:A195"/>
    <mergeCell ref="B192:B195"/>
    <mergeCell ref="C192:C193"/>
    <mergeCell ref="F192:H192"/>
    <mergeCell ref="N192:S192"/>
    <mergeCell ref="T192:V192"/>
    <mergeCell ref="W192:Y192"/>
    <mergeCell ref="Z192:AE192"/>
    <mergeCell ref="AF192:AJ192"/>
    <mergeCell ref="Z158:AE158"/>
    <mergeCell ref="AF158:AJ158"/>
    <mergeCell ref="AK158:AP158"/>
    <mergeCell ref="AQ158:AS158"/>
    <mergeCell ref="AT158:AY158"/>
    <mergeCell ref="AZ158:BB158"/>
    <mergeCell ref="BR156:BS156"/>
    <mergeCell ref="BT156:BT158"/>
    <mergeCell ref="C157:C158"/>
    <mergeCell ref="BL157:BM158"/>
    <mergeCell ref="BN157:BO158"/>
    <mergeCell ref="BP157:BQ158"/>
    <mergeCell ref="BR157:BR158"/>
    <mergeCell ref="N158:S158"/>
    <mergeCell ref="U158:V158"/>
    <mergeCell ref="W158:Y158"/>
    <mergeCell ref="BA156:BB156"/>
    <mergeCell ref="BC156:BD157"/>
    <mergeCell ref="BE156:BF157"/>
    <mergeCell ref="BG156:BH157"/>
    <mergeCell ref="BJ156:BK156"/>
    <mergeCell ref="BL156:BQ156"/>
    <mergeCell ref="AQ156:AQ157"/>
    <mergeCell ref="AR156:AS156"/>
    <mergeCell ref="AT156:AU157"/>
    <mergeCell ref="AV156:AW157"/>
    <mergeCell ref="AX156:AY157"/>
    <mergeCell ref="AZ156:AZ157"/>
    <mergeCell ref="AD156:AE157"/>
    <mergeCell ref="AF156:AH156"/>
    <mergeCell ref="AI156:AJ156"/>
    <mergeCell ref="AK156:AL157"/>
    <mergeCell ref="AM156:AN157"/>
    <mergeCell ref="AO156:AP157"/>
    <mergeCell ref="U156:V156"/>
    <mergeCell ref="W156:W157"/>
    <mergeCell ref="X156:X157"/>
    <mergeCell ref="Y156:Y157"/>
    <mergeCell ref="Z156:AA157"/>
    <mergeCell ref="AB156:AC157"/>
    <mergeCell ref="AZ155:BB155"/>
    <mergeCell ref="BC155:BH155"/>
    <mergeCell ref="BI155:BK155"/>
    <mergeCell ref="BL155:BS155"/>
    <mergeCell ref="D156:D157"/>
    <mergeCell ref="E156:E157"/>
    <mergeCell ref="K156:K157"/>
    <mergeCell ref="N156:O157"/>
    <mergeCell ref="P156:Q157"/>
    <mergeCell ref="R156:S157"/>
    <mergeCell ref="W155:Y155"/>
    <mergeCell ref="Z155:AE155"/>
    <mergeCell ref="AF155:AJ155"/>
    <mergeCell ref="AK155:AP155"/>
    <mergeCell ref="AQ155:AS155"/>
    <mergeCell ref="AT155:AY155"/>
    <mergeCell ref="AQ121:AS121"/>
    <mergeCell ref="AT121:AY121"/>
    <mergeCell ref="AZ121:BB121"/>
    <mergeCell ref="BC121:BK121"/>
    <mergeCell ref="A155:A158"/>
    <mergeCell ref="B155:B158"/>
    <mergeCell ref="C155:C156"/>
    <mergeCell ref="F155:H155"/>
    <mergeCell ref="N155:S155"/>
    <mergeCell ref="T155:V155"/>
    <mergeCell ref="N121:S121"/>
    <mergeCell ref="U121:V121"/>
    <mergeCell ref="W121:Y121"/>
    <mergeCell ref="Z121:AE121"/>
    <mergeCell ref="AF121:AJ121"/>
    <mergeCell ref="AK121:AP121"/>
    <mergeCell ref="BG119:BH120"/>
    <mergeCell ref="BJ119:BK119"/>
    <mergeCell ref="BL119:BQ119"/>
    <mergeCell ref="BR119:BS119"/>
    <mergeCell ref="BT119:BT121"/>
    <mergeCell ref="C120:C121"/>
    <mergeCell ref="BL120:BM121"/>
    <mergeCell ref="BN120:BO121"/>
    <mergeCell ref="BP120:BQ121"/>
    <mergeCell ref="BR120:BR121"/>
    <mergeCell ref="AV119:AW120"/>
    <mergeCell ref="AX119:AY120"/>
    <mergeCell ref="AZ119:AZ120"/>
    <mergeCell ref="BA119:BB119"/>
    <mergeCell ref="BC119:BD120"/>
    <mergeCell ref="BE119:BF120"/>
    <mergeCell ref="AK119:AL120"/>
    <mergeCell ref="AM119:AN120"/>
    <mergeCell ref="AO119:AP120"/>
    <mergeCell ref="AQ119:AQ120"/>
    <mergeCell ref="AR119:AS119"/>
    <mergeCell ref="AT119:AU120"/>
    <mergeCell ref="Y119:Y120"/>
    <mergeCell ref="Z119:AA120"/>
    <mergeCell ref="AB119:AC120"/>
    <mergeCell ref="AD119:AE120"/>
    <mergeCell ref="AF119:AH119"/>
    <mergeCell ref="AI119:AJ119"/>
    <mergeCell ref="BL118:BS118"/>
    <mergeCell ref="D119:D120"/>
    <mergeCell ref="E119:E120"/>
    <mergeCell ref="K119:K120"/>
    <mergeCell ref="N119:O120"/>
    <mergeCell ref="P119:Q120"/>
    <mergeCell ref="R119:S120"/>
    <mergeCell ref="U119:V119"/>
    <mergeCell ref="W119:W120"/>
    <mergeCell ref="X119:X120"/>
    <mergeCell ref="AK118:AP118"/>
    <mergeCell ref="AQ118:AS118"/>
    <mergeCell ref="AT118:AY118"/>
    <mergeCell ref="AZ118:BB118"/>
    <mergeCell ref="BC118:BH118"/>
    <mergeCell ref="BI118:BK118"/>
    <mergeCell ref="BC85:BK85"/>
    <mergeCell ref="A118:A121"/>
    <mergeCell ref="B118:B121"/>
    <mergeCell ref="C118:C119"/>
    <mergeCell ref="F118:H118"/>
    <mergeCell ref="N118:S118"/>
    <mergeCell ref="T118:V118"/>
    <mergeCell ref="W118:Y118"/>
    <mergeCell ref="Z118:AE118"/>
    <mergeCell ref="AF118:AJ118"/>
    <mergeCell ref="Z85:AE85"/>
    <mergeCell ref="AF85:AJ85"/>
    <mergeCell ref="AK85:AP85"/>
    <mergeCell ref="AQ85:AS85"/>
    <mergeCell ref="AT85:AY85"/>
    <mergeCell ref="AZ85:BB85"/>
    <mergeCell ref="BR83:BS83"/>
    <mergeCell ref="BT83:BT85"/>
    <mergeCell ref="C84:C85"/>
    <mergeCell ref="BL84:BM85"/>
    <mergeCell ref="BN84:BO85"/>
    <mergeCell ref="BP84:BQ85"/>
    <mergeCell ref="BR84:BR85"/>
    <mergeCell ref="N85:S85"/>
    <mergeCell ref="U85:V85"/>
    <mergeCell ref="W85:Y85"/>
    <mergeCell ref="BA83:BB83"/>
    <mergeCell ref="BC83:BD84"/>
    <mergeCell ref="BE83:BF84"/>
    <mergeCell ref="BG83:BH84"/>
    <mergeCell ref="BJ83:BK83"/>
    <mergeCell ref="BL83:BQ83"/>
    <mergeCell ref="AQ83:AQ84"/>
    <mergeCell ref="AR83:AS83"/>
    <mergeCell ref="AT83:AU84"/>
    <mergeCell ref="AV83:AW84"/>
    <mergeCell ref="AX83:AY84"/>
    <mergeCell ref="AZ83:AZ84"/>
    <mergeCell ref="AD83:AE84"/>
    <mergeCell ref="AF83:AH83"/>
    <mergeCell ref="AI83:AJ83"/>
    <mergeCell ref="AK83:AL84"/>
    <mergeCell ref="AM83:AN84"/>
    <mergeCell ref="AO83:AP84"/>
    <mergeCell ref="U83:V83"/>
    <mergeCell ref="W83:W84"/>
    <mergeCell ref="X83:X84"/>
    <mergeCell ref="Y83:Y84"/>
    <mergeCell ref="Z83:AA84"/>
    <mergeCell ref="AB83:AC84"/>
    <mergeCell ref="AZ82:BB82"/>
    <mergeCell ref="BC82:BH82"/>
    <mergeCell ref="BI82:BK82"/>
    <mergeCell ref="BL82:BS82"/>
    <mergeCell ref="D83:D84"/>
    <mergeCell ref="E83:E84"/>
    <mergeCell ref="K83:K84"/>
    <mergeCell ref="N83:O84"/>
    <mergeCell ref="P83:Q84"/>
    <mergeCell ref="R83:S84"/>
    <mergeCell ref="W82:Y82"/>
    <mergeCell ref="Z82:AE82"/>
    <mergeCell ref="AF82:AJ82"/>
    <mergeCell ref="AK82:AP82"/>
    <mergeCell ref="AQ82:AS82"/>
    <mergeCell ref="AT82:AY82"/>
    <mergeCell ref="AQ50:AS50"/>
    <mergeCell ref="AT50:AY50"/>
    <mergeCell ref="AZ50:BB50"/>
    <mergeCell ref="BC50:BK50"/>
    <mergeCell ref="A82:A85"/>
    <mergeCell ref="B82:B85"/>
    <mergeCell ref="C82:C83"/>
    <mergeCell ref="F82:H82"/>
    <mergeCell ref="N82:S82"/>
    <mergeCell ref="T82:V82"/>
    <mergeCell ref="N50:S50"/>
    <mergeCell ref="U50:V50"/>
    <mergeCell ref="W50:Y50"/>
    <mergeCell ref="Z50:AE50"/>
    <mergeCell ref="AF50:AJ50"/>
    <mergeCell ref="AK50:AP50"/>
    <mergeCell ref="BG48:BH49"/>
    <mergeCell ref="BJ48:BK48"/>
    <mergeCell ref="BL48:BQ48"/>
    <mergeCell ref="BR48:BS48"/>
    <mergeCell ref="BT48:BT50"/>
    <mergeCell ref="C49:C50"/>
    <mergeCell ref="BL49:BM50"/>
    <mergeCell ref="BN49:BO50"/>
    <mergeCell ref="BP49:BQ50"/>
    <mergeCell ref="BR49:BR50"/>
    <mergeCell ref="AV48:AW49"/>
    <mergeCell ref="AX48:AY49"/>
    <mergeCell ref="AZ48:AZ49"/>
    <mergeCell ref="BA48:BB48"/>
    <mergeCell ref="BC48:BD49"/>
    <mergeCell ref="BE48:BF49"/>
    <mergeCell ref="AK48:AL49"/>
    <mergeCell ref="AM48:AN49"/>
    <mergeCell ref="AO48:AP49"/>
    <mergeCell ref="AQ48:AQ49"/>
    <mergeCell ref="AR48:AS48"/>
    <mergeCell ref="AT48:AU49"/>
    <mergeCell ref="Y48:Y49"/>
    <mergeCell ref="Z48:AA49"/>
    <mergeCell ref="AB48:AC49"/>
    <mergeCell ref="AD48:AE49"/>
    <mergeCell ref="AF48:AH48"/>
    <mergeCell ref="AI48:AJ48"/>
    <mergeCell ref="BL47:BS47"/>
    <mergeCell ref="D48:D49"/>
    <mergeCell ref="E48:E49"/>
    <mergeCell ref="K48:K49"/>
    <mergeCell ref="N48:O49"/>
    <mergeCell ref="P48:Q49"/>
    <mergeCell ref="R48:S49"/>
    <mergeCell ref="U48:V48"/>
    <mergeCell ref="W48:W49"/>
    <mergeCell ref="X48:X49"/>
    <mergeCell ref="AK47:AP47"/>
    <mergeCell ref="AQ47:AS47"/>
    <mergeCell ref="AT47:AY47"/>
    <mergeCell ref="AZ47:BB47"/>
    <mergeCell ref="BC47:BH47"/>
    <mergeCell ref="BI47:BK47"/>
    <mergeCell ref="BC10:BK10"/>
    <mergeCell ref="A47:A50"/>
    <mergeCell ref="B47:B50"/>
    <mergeCell ref="C47:C48"/>
    <mergeCell ref="F47:H47"/>
    <mergeCell ref="N47:S47"/>
    <mergeCell ref="T47:V47"/>
    <mergeCell ref="W47:Y47"/>
    <mergeCell ref="Z47:AE47"/>
    <mergeCell ref="AF47:AJ47"/>
    <mergeCell ref="Z10:AE10"/>
    <mergeCell ref="AF10:AJ10"/>
    <mergeCell ref="AK10:AP10"/>
    <mergeCell ref="AQ10:AS10"/>
    <mergeCell ref="AT10:AY10"/>
    <mergeCell ref="AZ10:BB10"/>
    <mergeCell ref="BR8:BS8"/>
    <mergeCell ref="BT8:BT10"/>
    <mergeCell ref="C9:C10"/>
    <mergeCell ref="BL9:BM10"/>
    <mergeCell ref="BN9:BO10"/>
    <mergeCell ref="BP9:BQ10"/>
    <mergeCell ref="BR9:BR10"/>
    <mergeCell ref="N10:S10"/>
    <mergeCell ref="U10:V10"/>
    <mergeCell ref="W10:Y10"/>
    <mergeCell ref="BA8:BB8"/>
    <mergeCell ref="BC8:BD9"/>
    <mergeCell ref="BE8:BF9"/>
    <mergeCell ref="BG8:BH9"/>
    <mergeCell ref="BJ8:BK8"/>
    <mergeCell ref="BL8:BQ8"/>
    <mergeCell ref="AQ8:AQ9"/>
    <mergeCell ref="AR8:AS8"/>
    <mergeCell ref="AT8:AU9"/>
    <mergeCell ref="AV8:AW9"/>
    <mergeCell ref="AX8:AY9"/>
    <mergeCell ref="AZ8:AZ9"/>
    <mergeCell ref="AD8:AE9"/>
    <mergeCell ref="AF8:AH8"/>
    <mergeCell ref="AI8:AJ8"/>
    <mergeCell ref="AK8:AL9"/>
    <mergeCell ref="AM8:AN9"/>
    <mergeCell ref="AO8:AP9"/>
    <mergeCell ref="U8:V8"/>
    <mergeCell ref="W8:W9"/>
    <mergeCell ref="X8:X9"/>
    <mergeCell ref="Y8:Y9"/>
    <mergeCell ref="Z8:AA9"/>
    <mergeCell ref="AB8:AC9"/>
    <mergeCell ref="AT7:AY7"/>
    <mergeCell ref="AZ7:BB7"/>
    <mergeCell ref="BC7:BH7"/>
    <mergeCell ref="BI7:BK7"/>
    <mergeCell ref="BL7:BS7"/>
    <mergeCell ref="D8:D9"/>
    <mergeCell ref="E8:E9"/>
    <mergeCell ref="K8:K9"/>
    <mergeCell ref="N8:O9"/>
    <mergeCell ref="P8:Q9"/>
    <mergeCell ref="T7:V7"/>
    <mergeCell ref="W7:Y7"/>
    <mergeCell ref="Z7:AE7"/>
    <mergeCell ref="AF7:AJ7"/>
    <mergeCell ref="AK7:AP7"/>
    <mergeCell ref="AQ7:AS7"/>
    <mergeCell ref="D2:L2"/>
    <mergeCell ref="A7:A10"/>
    <mergeCell ref="B7:B10"/>
    <mergeCell ref="C7:C8"/>
    <mergeCell ref="F7:H7"/>
    <mergeCell ref="N7:S7"/>
    <mergeCell ref="R8:S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216"/>
  <sheetViews>
    <sheetView topLeftCell="A124" zoomScale="55" zoomScaleNormal="55" workbookViewId="0">
      <selection sqref="A1:AU216"/>
    </sheetView>
  </sheetViews>
  <sheetFormatPr defaultRowHeight="15"/>
  <sheetData>
    <row r="1" spans="1:47">
      <c r="A1" s="791" t="s">
        <v>975</v>
      </c>
      <c r="B1" s="791"/>
      <c r="C1" s="792" t="s">
        <v>76</v>
      </c>
      <c r="D1" s="793" t="s">
        <v>976</v>
      </c>
      <c r="E1" s="792"/>
      <c r="F1" s="794"/>
      <c r="G1" s="794"/>
      <c r="H1" s="794"/>
      <c r="I1" s="794"/>
      <c r="J1" s="794"/>
      <c r="K1" s="794"/>
      <c r="L1" s="794"/>
      <c r="M1" s="791"/>
      <c r="N1" s="791" t="s">
        <v>975</v>
      </c>
      <c r="O1" s="791"/>
      <c r="P1" s="792"/>
      <c r="Q1" s="792"/>
      <c r="R1" s="792"/>
      <c r="S1" s="792"/>
      <c r="T1" s="792" t="s">
        <v>76</v>
      </c>
      <c r="U1" s="793" t="s">
        <v>976</v>
      </c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5"/>
      <c r="AG1" s="795"/>
      <c r="AH1" s="795"/>
      <c r="AI1" s="795"/>
      <c r="AJ1" s="795"/>
      <c r="AK1" s="794"/>
      <c r="AL1" s="794"/>
      <c r="AM1" s="794"/>
      <c r="AN1" s="794"/>
      <c r="AO1" s="794"/>
      <c r="AP1" s="794"/>
      <c r="AQ1" s="794"/>
      <c r="AR1" s="794"/>
      <c r="AS1" s="794"/>
      <c r="AT1" s="794"/>
      <c r="AU1" s="794"/>
    </row>
    <row r="2" spans="1:47">
      <c r="A2" s="791" t="s">
        <v>977</v>
      </c>
      <c r="B2" s="791"/>
      <c r="C2" s="792" t="s">
        <v>76</v>
      </c>
      <c r="D2" s="793" t="s">
        <v>590</v>
      </c>
      <c r="E2" s="792"/>
      <c r="F2" s="794"/>
      <c r="G2" s="794"/>
      <c r="H2" s="794"/>
      <c r="I2" s="794"/>
      <c r="J2" s="794"/>
      <c r="K2" s="794"/>
      <c r="L2" s="794"/>
      <c r="M2" s="791"/>
      <c r="N2" s="791" t="s">
        <v>977</v>
      </c>
      <c r="O2" s="791"/>
      <c r="P2" s="792"/>
      <c r="Q2" s="792"/>
      <c r="R2" s="792"/>
      <c r="S2" s="792"/>
      <c r="T2" s="792" t="s">
        <v>76</v>
      </c>
      <c r="U2" s="793" t="s">
        <v>590</v>
      </c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5"/>
      <c r="AG2" s="795"/>
      <c r="AH2" s="795"/>
      <c r="AI2" s="795"/>
      <c r="AJ2" s="795"/>
      <c r="AK2" s="794"/>
      <c r="AL2" s="794"/>
      <c r="AM2" s="794"/>
      <c r="AN2" s="794"/>
      <c r="AO2" s="794"/>
      <c r="AP2" s="794"/>
      <c r="AQ2" s="794"/>
      <c r="AR2" s="794"/>
      <c r="AS2" s="794"/>
      <c r="AT2" s="794"/>
      <c r="AU2" s="794"/>
    </row>
    <row r="3" spans="1:47">
      <c r="A3" s="791" t="s">
        <v>978</v>
      </c>
      <c r="B3" s="791"/>
      <c r="C3" s="792" t="s">
        <v>76</v>
      </c>
      <c r="D3" s="793" t="s">
        <v>979</v>
      </c>
      <c r="E3" s="792"/>
      <c r="F3" s="794"/>
      <c r="G3" s="794"/>
      <c r="H3" s="794"/>
      <c r="I3" s="794"/>
      <c r="J3" s="794"/>
      <c r="K3" s="794"/>
      <c r="L3" s="794"/>
      <c r="M3" s="791"/>
      <c r="N3" s="791" t="s">
        <v>978</v>
      </c>
      <c r="O3" s="791"/>
      <c r="P3" s="792"/>
      <c r="Q3" s="792"/>
      <c r="R3" s="792"/>
      <c r="S3" s="792"/>
      <c r="T3" s="792" t="s">
        <v>76</v>
      </c>
      <c r="U3" s="793" t="s">
        <v>979</v>
      </c>
      <c r="V3" s="792"/>
      <c r="W3" s="792"/>
      <c r="X3" s="792"/>
      <c r="Y3" s="792"/>
      <c r="Z3" s="792"/>
      <c r="AA3" s="792"/>
      <c r="AB3" s="792"/>
      <c r="AC3" s="792"/>
      <c r="AD3" s="792"/>
      <c r="AE3" s="792"/>
      <c r="AF3" s="795"/>
      <c r="AG3" s="795"/>
      <c r="AH3" s="795"/>
      <c r="AI3" s="795"/>
      <c r="AJ3" s="795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</row>
    <row r="4" spans="1:47">
      <c r="A4" s="791" t="s">
        <v>980</v>
      </c>
      <c r="B4" s="791"/>
      <c r="C4" s="792" t="s">
        <v>76</v>
      </c>
      <c r="D4" s="793" t="s">
        <v>981</v>
      </c>
      <c r="E4" s="792"/>
      <c r="F4" s="794"/>
      <c r="G4" s="794"/>
      <c r="H4" s="794"/>
      <c r="I4" s="794"/>
      <c r="J4" s="794"/>
      <c r="K4" s="794"/>
      <c r="L4" s="794"/>
      <c r="M4" s="791"/>
      <c r="N4" s="791" t="s">
        <v>980</v>
      </c>
      <c r="O4" s="791"/>
      <c r="P4" s="792"/>
      <c r="Q4" s="792"/>
      <c r="R4" s="792"/>
      <c r="S4" s="792"/>
      <c r="T4" s="792" t="s">
        <v>76</v>
      </c>
      <c r="U4" s="793" t="s">
        <v>982</v>
      </c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5"/>
      <c r="AG4" s="795"/>
      <c r="AH4" s="795"/>
      <c r="AI4" s="795"/>
      <c r="AJ4" s="795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</row>
    <row r="5" spans="1:47" ht="15.75" thickBot="1">
      <c r="A5" s="791"/>
      <c r="B5" s="791"/>
      <c r="C5" s="792"/>
      <c r="D5" s="793"/>
      <c r="E5" s="792"/>
      <c r="F5" s="794"/>
      <c r="G5" s="794"/>
      <c r="H5" s="794"/>
      <c r="I5" s="794"/>
      <c r="J5" s="794"/>
      <c r="K5" s="794"/>
      <c r="L5" s="794"/>
      <c r="M5" s="791"/>
      <c r="N5" s="791"/>
      <c r="O5" s="791"/>
      <c r="P5" s="792"/>
      <c r="Q5" s="792"/>
      <c r="R5" s="792"/>
      <c r="S5" s="792"/>
      <c r="T5" s="792"/>
      <c r="U5" s="793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5"/>
      <c r="AG5" s="795"/>
      <c r="AH5" s="795"/>
      <c r="AI5" s="795"/>
      <c r="AJ5" s="795"/>
      <c r="AK5" s="794"/>
      <c r="AL5" s="794"/>
      <c r="AM5" s="794"/>
      <c r="AN5" s="794"/>
      <c r="AO5" s="794"/>
      <c r="AP5" s="794"/>
      <c r="AQ5" s="794"/>
      <c r="AR5" s="794"/>
      <c r="AS5" s="794"/>
      <c r="AT5" s="794"/>
      <c r="AU5" s="794"/>
    </row>
    <row r="6" spans="1:47">
      <c r="A6" s="796" t="s">
        <v>66</v>
      </c>
      <c r="B6" s="797" t="s">
        <v>983</v>
      </c>
      <c r="C6" s="797"/>
      <c r="D6" s="798" t="s">
        <v>984</v>
      </c>
      <c r="E6" s="798"/>
      <c r="F6" s="798"/>
      <c r="G6" s="799" t="s">
        <v>985</v>
      </c>
      <c r="H6" s="799" t="s">
        <v>986</v>
      </c>
      <c r="I6" s="798" t="s">
        <v>392</v>
      </c>
      <c r="J6" s="800" t="s">
        <v>377</v>
      </c>
      <c r="K6" s="792"/>
      <c r="L6" s="801" t="s">
        <v>987</v>
      </c>
      <c r="M6" s="802"/>
      <c r="N6" s="803" t="s">
        <v>988</v>
      </c>
      <c r="O6" s="803"/>
      <c r="P6" s="803"/>
      <c r="Q6" s="803" t="s">
        <v>989</v>
      </c>
      <c r="R6" s="803"/>
      <c r="S6" s="803"/>
      <c r="T6" s="804"/>
      <c r="U6" s="805"/>
      <c r="V6" s="806" t="s">
        <v>990</v>
      </c>
      <c r="W6" s="806"/>
      <c r="X6" s="806"/>
      <c r="Y6" s="806"/>
      <c r="Z6" s="806"/>
      <c r="AA6" s="807" t="s">
        <v>991</v>
      </c>
      <c r="AB6" s="808"/>
      <c r="AC6" s="809" t="s">
        <v>992</v>
      </c>
      <c r="AD6" s="809"/>
      <c r="AE6" s="809"/>
      <c r="AF6" s="810" t="s">
        <v>993</v>
      </c>
      <c r="AG6" s="811"/>
      <c r="AH6" s="798" t="s">
        <v>994</v>
      </c>
      <c r="AI6" s="798"/>
      <c r="AJ6" s="798"/>
      <c r="AK6" s="812" t="s">
        <v>995</v>
      </c>
      <c r="AL6" s="813"/>
      <c r="AM6" s="814" t="s">
        <v>996</v>
      </c>
      <c r="AN6" s="814"/>
      <c r="AO6" s="814"/>
      <c r="AP6" s="798" t="s">
        <v>997</v>
      </c>
      <c r="AQ6" s="798"/>
      <c r="AR6" s="798"/>
      <c r="AS6" s="798"/>
      <c r="AT6" s="798"/>
      <c r="AU6" s="815" t="s">
        <v>998</v>
      </c>
    </row>
    <row r="7" spans="1:47" ht="15.75" thickBot="1">
      <c r="A7" s="816"/>
      <c r="B7" s="817" t="s">
        <v>372</v>
      </c>
      <c r="C7" s="817" t="s">
        <v>372</v>
      </c>
      <c r="D7" s="818" t="s">
        <v>999</v>
      </c>
      <c r="E7" s="818" t="s">
        <v>1000</v>
      </c>
      <c r="F7" s="818" t="s">
        <v>1001</v>
      </c>
      <c r="G7" s="819" t="s">
        <v>1002</v>
      </c>
      <c r="H7" s="819" t="s">
        <v>1003</v>
      </c>
      <c r="I7" s="818"/>
      <c r="J7" s="820"/>
      <c r="K7" s="792"/>
      <c r="L7" s="821"/>
      <c r="M7" s="822"/>
      <c r="N7" s="819" t="s">
        <v>1004</v>
      </c>
      <c r="O7" s="819" t="s">
        <v>1005</v>
      </c>
      <c r="P7" s="819"/>
      <c r="Q7" s="819" t="s">
        <v>1001</v>
      </c>
      <c r="R7" s="819" t="s">
        <v>1000</v>
      </c>
      <c r="S7" s="819" t="s">
        <v>1001</v>
      </c>
      <c r="T7" s="823" t="s">
        <v>1006</v>
      </c>
      <c r="U7" s="824"/>
      <c r="V7" s="825" t="s">
        <v>1007</v>
      </c>
      <c r="W7" s="825"/>
      <c r="X7" s="825"/>
      <c r="Y7" s="825" t="s">
        <v>1005</v>
      </c>
      <c r="Z7" s="825"/>
      <c r="AA7" s="826" t="s">
        <v>1008</v>
      </c>
      <c r="AB7" s="827"/>
      <c r="AC7" s="819" t="s">
        <v>1004</v>
      </c>
      <c r="AD7" s="828" t="s">
        <v>1005</v>
      </c>
      <c r="AE7" s="828"/>
      <c r="AF7" s="829" t="s">
        <v>1006</v>
      </c>
      <c r="AG7" s="830"/>
      <c r="AH7" s="818" t="s">
        <v>1004</v>
      </c>
      <c r="AI7" s="818" t="s">
        <v>1005</v>
      </c>
      <c r="AJ7" s="818"/>
      <c r="AK7" s="831" t="s">
        <v>1009</v>
      </c>
      <c r="AL7" s="832"/>
      <c r="AM7" s="833"/>
      <c r="AN7" s="833"/>
      <c r="AO7" s="833"/>
      <c r="AP7" s="818" t="s">
        <v>1006</v>
      </c>
      <c r="AQ7" s="818"/>
      <c r="AR7" s="818" t="s">
        <v>1010</v>
      </c>
      <c r="AS7" s="818"/>
      <c r="AT7" s="818"/>
      <c r="AU7" s="834" t="s">
        <v>1011</v>
      </c>
    </row>
    <row r="8" spans="1:47" ht="15.75" thickTop="1">
      <c r="A8" s="816"/>
      <c r="B8" s="817"/>
      <c r="C8" s="817"/>
      <c r="D8" s="818"/>
      <c r="E8" s="818"/>
      <c r="F8" s="818"/>
      <c r="G8" s="819"/>
      <c r="H8" s="819"/>
      <c r="I8" s="818"/>
      <c r="J8" s="820"/>
      <c r="K8" s="792"/>
      <c r="L8" s="835"/>
      <c r="M8" s="836"/>
      <c r="N8" s="819"/>
      <c r="O8" s="837" t="s">
        <v>494</v>
      </c>
      <c r="P8" s="837" t="s">
        <v>1012</v>
      </c>
      <c r="Q8" s="819"/>
      <c r="R8" s="819"/>
      <c r="S8" s="819"/>
      <c r="T8" s="838"/>
      <c r="U8" s="839"/>
      <c r="V8" s="840" t="s">
        <v>1001</v>
      </c>
      <c r="W8" s="840" t="s">
        <v>1000</v>
      </c>
      <c r="X8" s="840" t="s">
        <v>1001</v>
      </c>
      <c r="Y8" s="840" t="s">
        <v>494</v>
      </c>
      <c r="Z8" s="840" t="s">
        <v>1012</v>
      </c>
      <c r="AA8" s="841" t="s">
        <v>1013</v>
      </c>
      <c r="AB8" s="842"/>
      <c r="AC8" s="819"/>
      <c r="AD8" s="843" t="s">
        <v>494</v>
      </c>
      <c r="AE8" s="843" t="s">
        <v>1012</v>
      </c>
      <c r="AF8" s="844"/>
      <c r="AG8" s="842"/>
      <c r="AH8" s="818"/>
      <c r="AI8" s="845" t="s">
        <v>494</v>
      </c>
      <c r="AJ8" s="845" t="s">
        <v>1012</v>
      </c>
      <c r="AK8" s="846" t="s">
        <v>1013</v>
      </c>
      <c r="AL8" s="847"/>
      <c r="AM8" s="833"/>
      <c r="AN8" s="833"/>
      <c r="AO8" s="833"/>
      <c r="AP8" s="818"/>
      <c r="AQ8" s="818"/>
      <c r="AR8" s="818"/>
      <c r="AS8" s="818"/>
      <c r="AT8" s="818"/>
      <c r="AU8" s="834"/>
    </row>
    <row r="9" spans="1:47" ht="15.75" thickBot="1">
      <c r="A9" s="848"/>
      <c r="B9" s="817"/>
      <c r="C9" s="817"/>
      <c r="D9" s="849" t="s">
        <v>151</v>
      </c>
      <c r="E9" s="849"/>
      <c r="F9" s="849"/>
      <c r="G9" s="849"/>
      <c r="H9" s="849"/>
      <c r="I9" s="850" t="s">
        <v>1014</v>
      </c>
      <c r="J9" s="851" t="s">
        <v>1015</v>
      </c>
      <c r="K9" s="792"/>
      <c r="L9" s="848" t="s">
        <v>1016</v>
      </c>
      <c r="M9" s="852"/>
      <c r="N9" s="852" t="s">
        <v>1016</v>
      </c>
      <c r="O9" s="852"/>
      <c r="P9" s="852"/>
      <c r="Q9" s="852" t="s">
        <v>151</v>
      </c>
      <c r="R9" s="852"/>
      <c r="S9" s="852"/>
      <c r="T9" s="823" t="s">
        <v>34</v>
      </c>
      <c r="U9" s="853"/>
      <c r="V9" s="854" t="s">
        <v>34</v>
      </c>
      <c r="W9" s="854"/>
      <c r="X9" s="854"/>
      <c r="Y9" s="854"/>
      <c r="Z9" s="854"/>
      <c r="AA9" s="849" t="s">
        <v>151</v>
      </c>
      <c r="AB9" s="849"/>
      <c r="AC9" s="852" t="s">
        <v>151</v>
      </c>
      <c r="AD9" s="852"/>
      <c r="AE9" s="852"/>
      <c r="AF9" s="849" t="s">
        <v>151</v>
      </c>
      <c r="AG9" s="849"/>
      <c r="AH9" s="849" t="s">
        <v>151</v>
      </c>
      <c r="AI9" s="849"/>
      <c r="AJ9" s="849"/>
      <c r="AK9" s="855" t="s">
        <v>1017</v>
      </c>
      <c r="AL9" s="855"/>
      <c r="AM9" s="855"/>
      <c r="AN9" s="855"/>
      <c r="AO9" s="855"/>
      <c r="AP9" s="849" t="s">
        <v>7</v>
      </c>
      <c r="AQ9" s="849"/>
      <c r="AR9" s="849"/>
      <c r="AS9" s="849"/>
      <c r="AT9" s="849"/>
      <c r="AU9" s="856"/>
    </row>
    <row r="10" spans="1:47" ht="15.75" thickBot="1">
      <c r="A10" s="857" t="s">
        <v>1018</v>
      </c>
      <c r="B10" s="858"/>
      <c r="C10" s="858"/>
      <c r="D10" s="859"/>
      <c r="E10" s="859"/>
      <c r="F10" s="859"/>
      <c r="G10" s="858"/>
      <c r="H10" s="859"/>
      <c r="I10" s="859"/>
      <c r="J10" s="859"/>
      <c r="K10" s="792"/>
      <c r="L10" s="860" t="str">
        <f>A10</f>
        <v>Kolom Lantai Dasar</v>
      </c>
      <c r="M10" s="858"/>
      <c r="N10" s="858"/>
      <c r="O10" s="858"/>
      <c r="P10" s="858"/>
      <c r="Q10" s="858"/>
      <c r="R10" s="858"/>
      <c r="S10" s="858"/>
      <c r="T10" s="858"/>
      <c r="U10" s="858"/>
      <c r="V10" s="861"/>
      <c r="W10" s="861"/>
      <c r="X10" s="861"/>
      <c r="Y10" s="861"/>
      <c r="Z10" s="861"/>
      <c r="AA10" s="859"/>
      <c r="AB10" s="859"/>
      <c r="AC10" s="858"/>
      <c r="AD10" s="862"/>
      <c r="AE10" s="862"/>
      <c r="AF10" s="859"/>
      <c r="AG10" s="859"/>
      <c r="AH10" s="859"/>
      <c r="AI10" s="859"/>
      <c r="AJ10" s="859"/>
      <c r="AK10" s="863"/>
      <c r="AL10" s="863"/>
      <c r="AM10" s="863"/>
      <c r="AN10" s="863"/>
      <c r="AO10" s="863"/>
      <c r="AP10" s="859"/>
      <c r="AQ10" s="859"/>
      <c r="AR10" s="859"/>
      <c r="AS10" s="859"/>
      <c r="AT10" s="859"/>
      <c r="AU10" s="861"/>
    </row>
    <row r="11" spans="1:47" ht="15.75" thickBot="1">
      <c r="A11" s="858">
        <v>1</v>
      </c>
      <c r="B11" s="858" t="s">
        <v>1019</v>
      </c>
      <c r="C11" s="858">
        <v>17</v>
      </c>
      <c r="D11" s="859">
        <v>1</v>
      </c>
      <c r="E11" s="859">
        <v>1</v>
      </c>
      <c r="F11" s="859">
        <v>3</v>
      </c>
      <c r="G11" s="858">
        <v>0.12</v>
      </c>
      <c r="H11" s="859">
        <f>F11-G11</f>
        <v>2.88</v>
      </c>
      <c r="I11" s="859">
        <f>H11*E11*D11*C11</f>
        <v>48.96</v>
      </c>
      <c r="J11" s="859">
        <f>(D11+D11+E11+E11)*H11*C11</f>
        <v>195.84</v>
      </c>
      <c r="K11" s="792"/>
      <c r="L11" s="858">
        <v>25</v>
      </c>
      <c r="M11" s="858"/>
      <c r="N11" s="858">
        <v>13</v>
      </c>
      <c r="O11" s="858"/>
      <c r="P11" s="858"/>
      <c r="Q11" s="858">
        <v>0.1</v>
      </c>
      <c r="R11" s="858">
        <v>0.15</v>
      </c>
      <c r="S11" s="858">
        <v>0.1</v>
      </c>
      <c r="T11" s="858">
        <v>24</v>
      </c>
      <c r="U11" s="858"/>
      <c r="V11" s="861">
        <f t="shared" ref="V11:V20" si="0">(H11/4)/Q11+1</f>
        <v>8.1999999999999993</v>
      </c>
      <c r="W11" s="861">
        <f t="shared" ref="W11:W20" si="1">(H11/2)/R11+1</f>
        <v>10.6</v>
      </c>
      <c r="X11" s="861">
        <f t="shared" ref="X11:X20" si="2">(H11/4)/S11+1</f>
        <v>8.1999999999999993</v>
      </c>
      <c r="Y11" s="861"/>
      <c r="Z11" s="861"/>
      <c r="AA11" s="859">
        <f>(H11)+(2*6*L11/1000)+(50*L11/1000)+(0.12)</f>
        <v>4.55</v>
      </c>
      <c r="AB11" s="859"/>
      <c r="AC11" s="858">
        <f>(2*D11)+(2*E11)+(2*6*N11/1000)-(8*0.03)</f>
        <v>3.9159999999999995</v>
      </c>
      <c r="AD11" s="862">
        <f>(E11)+(2*6*O11/1000)-(2*0.03)</f>
        <v>0.94</v>
      </c>
      <c r="AE11" s="862">
        <f>(D11)+(2*6*P11/1000)-(2*0.03)</f>
        <v>0.94</v>
      </c>
      <c r="AF11" s="859">
        <f>AA11*T11*C11</f>
        <v>1856.3999999999999</v>
      </c>
      <c r="AG11" s="859"/>
      <c r="AH11" s="859">
        <f>AC11*(V11+W11+X11)*C11</f>
        <v>1797.4439999999995</v>
      </c>
      <c r="AI11" s="859"/>
      <c r="AJ11" s="859"/>
      <c r="AK11" s="863">
        <f t="shared" ref="AK11:AK20" si="3">L11*L11*0.074/12</f>
        <v>3.8541666666666665</v>
      </c>
      <c r="AL11" s="863"/>
      <c r="AM11" s="863">
        <f t="shared" ref="AM11:AO20" si="4">N11*N11*0.074/12</f>
        <v>1.0421666666666667</v>
      </c>
      <c r="AN11" s="863">
        <f t="shared" si="4"/>
        <v>0</v>
      </c>
      <c r="AO11" s="863">
        <f t="shared" si="4"/>
        <v>0</v>
      </c>
      <c r="AP11" s="859">
        <f>AF11*AK11</f>
        <v>7154.8749999999991</v>
      </c>
      <c r="AQ11" s="859"/>
      <c r="AR11" s="859">
        <f>AH11*AM11</f>
        <v>1873.2362219999995</v>
      </c>
      <c r="AS11" s="859"/>
      <c r="AT11" s="859"/>
      <c r="AU11" s="861">
        <f t="shared" ref="AU11:AU20" si="5">SUM(AP11:AT11)/I11</f>
        <v>184.39769652777775</v>
      </c>
    </row>
    <row r="12" spans="1:47" ht="15.75" thickBot="1">
      <c r="A12" s="858">
        <v>2</v>
      </c>
      <c r="B12" s="858" t="s">
        <v>1020</v>
      </c>
      <c r="C12" s="858">
        <v>4</v>
      </c>
      <c r="D12" s="859">
        <v>1.1000000000000001</v>
      </c>
      <c r="E12" s="859">
        <v>1.1000000000000001</v>
      </c>
      <c r="F12" s="859">
        <v>3</v>
      </c>
      <c r="G12" s="858">
        <v>0.12</v>
      </c>
      <c r="H12" s="859">
        <f t="shared" ref="H12:H20" si="6">F12-G12</f>
        <v>2.88</v>
      </c>
      <c r="I12" s="859">
        <f t="shared" ref="I12:I20" si="7">H12*E12*D12*C12</f>
        <v>13.939200000000001</v>
      </c>
      <c r="J12" s="859">
        <f t="shared" ref="J12:J20" si="8">(D12+D12+E12+E12)*H12*C12</f>
        <v>50.688000000000002</v>
      </c>
      <c r="K12" s="792"/>
      <c r="L12" s="858">
        <v>25</v>
      </c>
      <c r="M12" s="858"/>
      <c r="N12" s="858">
        <v>13</v>
      </c>
      <c r="O12" s="858"/>
      <c r="P12" s="858"/>
      <c r="Q12" s="858">
        <v>0.1</v>
      </c>
      <c r="R12" s="858">
        <v>0.15</v>
      </c>
      <c r="S12" s="858">
        <v>0.1</v>
      </c>
      <c r="T12" s="858">
        <v>24</v>
      </c>
      <c r="U12" s="858"/>
      <c r="V12" s="861">
        <f t="shared" si="0"/>
        <v>8.1999999999999993</v>
      </c>
      <c r="W12" s="861">
        <f t="shared" si="1"/>
        <v>10.6</v>
      </c>
      <c r="X12" s="861">
        <f t="shared" si="2"/>
        <v>8.1999999999999993</v>
      </c>
      <c r="Y12" s="861"/>
      <c r="Z12" s="861"/>
      <c r="AA12" s="859">
        <f t="shared" ref="AA12:AA20" si="9">(H12)+(2*6*L12/1000)+(50*L12/1000)+(0.12)</f>
        <v>4.55</v>
      </c>
      <c r="AB12" s="859"/>
      <c r="AC12" s="858">
        <f t="shared" ref="AC12:AC17" si="10">(2*D12)+(2*E12)+(2*6*N12/1000)-(8*0.03)</f>
        <v>4.3159999999999998</v>
      </c>
      <c r="AD12" s="862">
        <f t="shared" ref="AD12:AD20" si="11">(E12)+(2*6*O12/1000)-(2*0.03)</f>
        <v>1.04</v>
      </c>
      <c r="AE12" s="862">
        <f t="shared" ref="AE12:AE20" si="12">(D12)+(2*6*P12/1000)-(2*0.03)</f>
        <v>1.04</v>
      </c>
      <c r="AF12" s="859">
        <f t="shared" ref="AF12:AF20" si="13">AA12*T12*C12</f>
        <v>436.79999999999995</v>
      </c>
      <c r="AG12" s="859"/>
      <c r="AH12" s="859">
        <f t="shared" ref="AH12:AH20" si="14">AC12*(V12+W12+X12)*C12</f>
        <v>466.12799999999993</v>
      </c>
      <c r="AI12" s="859"/>
      <c r="AJ12" s="859"/>
      <c r="AK12" s="863">
        <f t="shared" si="3"/>
        <v>3.8541666666666665</v>
      </c>
      <c r="AL12" s="863"/>
      <c r="AM12" s="863">
        <f t="shared" si="4"/>
        <v>1.0421666666666667</v>
      </c>
      <c r="AN12" s="863">
        <f t="shared" si="4"/>
        <v>0</v>
      </c>
      <c r="AO12" s="863">
        <f t="shared" si="4"/>
        <v>0</v>
      </c>
      <c r="AP12" s="859">
        <f t="shared" ref="AP12" si="15">AF12*AK12</f>
        <v>1683.4999999999998</v>
      </c>
      <c r="AQ12" s="859"/>
      <c r="AR12" s="859">
        <f t="shared" ref="AR12" si="16">AH12*AM12</f>
        <v>485.78306399999991</v>
      </c>
      <c r="AS12" s="859"/>
      <c r="AT12" s="859"/>
      <c r="AU12" s="861">
        <f t="shared" si="5"/>
        <v>155.62464589072539</v>
      </c>
    </row>
    <row r="13" spans="1:47" ht="15.75" thickBot="1">
      <c r="A13" s="858">
        <v>3</v>
      </c>
      <c r="B13" s="858" t="s">
        <v>1021</v>
      </c>
      <c r="C13" s="858">
        <v>22</v>
      </c>
      <c r="D13" s="859">
        <v>0.5</v>
      </c>
      <c r="E13" s="859">
        <v>0.5</v>
      </c>
      <c r="F13" s="859">
        <v>3</v>
      </c>
      <c r="G13" s="858">
        <v>0.12</v>
      </c>
      <c r="H13" s="859">
        <f t="shared" si="6"/>
        <v>2.88</v>
      </c>
      <c r="I13" s="859">
        <f t="shared" si="7"/>
        <v>15.84</v>
      </c>
      <c r="J13" s="859">
        <f t="shared" si="8"/>
        <v>126.72</v>
      </c>
      <c r="K13" s="792"/>
      <c r="L13" s="858">
        <v>16</v>
      </c>
      <c r="M13" s="858"/>
      <c r="N13" s="858">
        <v>8</v>
      </c>
      <c r="O13" s="858"/>
      <c r="P13" s="858"/>
      <c r="Q13" s="858">
        <v>0.1</v>
      </c>
      <c r="R13" s="858">
        <v>0.15</v>
      </c>
      <c r="S13" s="858">
        <v>0.1</v>
      </c>
      <c r="T13" s="858">
        <v>12</v>
      </c>
      <c r="U13" s="858"/>
      <c r="V13" s="861">
        <f t="shared" si="0"/>
        <v>8.1999999999999993</v>
      </c>
      <c r="W13" s="861">
        <f t="shared" si="1"/>
        <v>10.6</v>
      </c>
      <c r="X13" s="861">
        <f t="shared" si="2"/>
        <v>8.1999999999999993</v>
      </c>
      <c r="Y13" s="861"/>
      <c r="Z13" s="861"/>
      <c r="AA13" s="859">
        <f t="shared" si="9"/>
        <v>3.992</v>
      </c>
      <c r="AB13" s="859"/>
      <c r="AC13" s="858">
        <f t="shared" si="10"/>
        <v>1.8560000000000001</v>
      </c>
      <c r="AD13" s="862">
        <f t="shared" si="11"/>
        <v>0.44</v>
      </c>
      <c r="AE13" s="862">
        <f t="shared" si="12"/>
        <v>0.44</v>
      </c>
      <c r="AF13" s="859">
        <f t="shared" si="13"/>
        <v>1053.8879999999999</v>
      </c>
      <c r="AG13" s="859"/>
      <c r="AH13" s="859">
        <f t="shared" si="14"/>
        <v>1102.4639999999999</v>
      </c>
      <c r="AI13" s="859"/>
      <c r="AJ13" s="859"/>
      <c r="AK13" s="863">
        <f t="shared" si="3"/>
        <v>1.5786666666666667</v>
      </c>
      <c r="AL13" s="863"/>
      <c r="AM13" s="863">
        <f t="shared" si="4"/>
        <v>0.39466666666666667</v>
      </c>
      <c r="AN13" s="863">
        <f t="shared" si="4"/>
        <v>0</v>
      </c>
      <c r="AO13" s="863">
        <f t="shared" si="4"/>
        <v>0</v>
      </c>
      <c r="AP13" s="859">
        <f>AF13*AK13</f>
        <v>1663.737856</v>
      </c>
      <c r="AQ13" s="859"/>
      <c r="AR13" s="859">
        <f>AH13*AM13</f>
        <v>435.10579199999995</v>
      </c>
      <c r="AS13" s="859"/>
      <c r="AT13" s="859"/>
      <c r="AU13" s="861">
        <f t="shared" si="5"/>
        <v>132.50275555555555</v>
      </c>
    </row>
    <row r="14" spans="1:47" ht="15.75" thickBot="1">
      <c r="A14" s="858">
        <v>4</v>
      </c>
      <c r="B14" s="858" t="s">
        <v>1022</v>
      </c>
      <c r="C14" s="858">
        <v>26</v>
      </c>
      <c r="D14" s="859">
        <v>0.4</v>
      </c>
      <c r="E14" s="859">
        <v>0.4</v>
      </c>
      <c r="F14" s="859">
        <v>3</v>
      </c>
      <c r="G14" s="858">
        <v>0.12</v>
      </c>
      <c r="H14" s="859">
        <f t="shared" si="6"/>
        <v>2.88</v>
      </c>
      <c r="I14" s="859">
        <f t="shared" si="7"/>
        <v>11.9808</v>
      </c>
      <c r="J14" s="859">
        <f t="shared" si="8"/>
        <v>119.80799999999999</v>
      </c>
      <c r="K14" s="792"/>
      <c r="L14" s="858">
        <v>16</v>
      </c>
      <c r="M14" s="858"/>
      <c r="N14" s="858">
        <v>8</v>
      </c>
      <c r="O14" s="858"/>
      <c r="P14" s="858"/>
      <c r="Q14" s="858">
        <v>0.1</v>
      </c>
      <c r="R14" s="858">
        <v>0.15</v>
      </c>
      <c r="S14" s="858">
        <v>0.1</v>
      </c>
      <c r="T14" s="858">
        <v>8</v>
      </c>
      <c r="U14" s="858"/>
      <c r="V14" s="861">
        <f t="shared" si="0"/>
        <v>8.1999999999999993</v>
      </c>
      <c r="W14" s="861">
        <f t="shared" si="1"/>
        <v>10.6</v>
      </c>
      <c r="X14" s="861">
        <f t="shared" si="2"/>
        <v>8.1999999999999993</v>
      </c>
      <c r="Y14" s="861"/>
      <c r="Z14" s="861"/>
      <c r="AA14" s="859">
        <f t="shared" si="9"/>
        <v>3.992</v>
      </c>
      <c r="AB14" s="859"/>
      <c r="AC14" s="858">
        <f t="shared" si="10"/>
        <v>1.4560000000000002</v>
      </c>
      <c r="AD14" s="862">
        <f t="shared" si="11"/>
        <v>0.34</v>
      </c>
      <c r="AE14" s="862">
        <f t="shared" si="12"/>
        <v>0.34</v>
      </c>
      <c r="AF14" s="859">
        <f t="shared" si="13"/>
        <v>830.33600000000001</v>
      </c>
      <c r="AG14" s="859"/>
      <c r="AH14" s="859">
        <f t="shared" si="14"/>
        <v>1022.112</v>
      </c>
      <c r="AI14" s="859"/>
      <c r="AJ14" s="859"/>
      <c r="AK14" s="863">
        <f t="shared" si="3"/>
        <v>1.5786666666666667</v>
      </c>
      <c r="AL14" s="863"/>
      <c r="AM14" s="863">
        <f t="shared" si="4"/>
        <v>0.39466666666666667</v>
      </c>
      <c r="AN14" s="863">
        <f t="shared" si="4"/>
        <v>0</v>
      </c>
      <c r="AO14" s="863">
        <f t="shared" si="4"/>
        <v>0</v>
      </c>
      <c r="AP14" s="859">
        <f>AF14*AK14</f>
        <v>1310.8237653333333</v>
      </c>
      <c r="AQ14" s="859"/>
      <c r="AR14" s="859">
        <f>AH14*AM14</f>
        <v>403.39353599999998</v>
      </c>
      <c r="AS14" s="859"/>
      <c r="AT14" s="859"/>
      <c r="AU14" s="861">
        <f t="shared" si="5"/>
        <v>143.08037037037036</v>
      </c>
    </row>
    <row r="15" spans="1:47" ht="15.75" thickBot="1">
      <c r="A15" s="858">
        <v>5</v>
      </c>
      <c r="B15" s="858" t="s">
        <v>1023</v>
      </c>
      <c r="C15" s="858">
        <v>4</v>
      </c>
      <c r="D15" s="859">
        <v>1</v>
      </c>
      <c r="E15" s="859">
        <v>1</v>
      </c>
      <c r="F15" s="859">
        <v>3</v>
      </c>
      <c r="G15" s="858">
        <v>0.12</v>
      </c>
      <c r="H15" s="859">
        <f t="shared" si="6"/>
        <v>2.88</v>
      </c>
      <c r="I15" s="859">
        <f t="shared" si="7"/>
        <v>11.52</v>
      </c>
      <c r="J15" s="859">
        <f t="shared" si="8"/>
        <v>46.08</v>
      </c>
      <c r="K15" s="864"/>
      <c r="L15" s="858">
        <v>25</v>
      </c>
      <c r="M15" s="858"/>
      <c r="N15" s="858">
        <v>13</v>
      </c>
      <c r="O15" s="858"/>
      <c r="P15" s="858"/>
      <c r="Q15" s="858">
        <v>0.1</v>
      </c>
      <c r="R15" s="858">
        <v>0.15</v>
      </c>
      <c r="S15" s="858">
        <v>0.1</v>
      </c>
      <c r="T15" s="858">
        <v>24</v>
      </c>
      <c r="U15" s="858"/>
      <c r="V15" s="861">
        <f t="shared" si="0"/>
        <v>8.1999999999999993</v>
      </c>
      <c r="W15" s="861">
        <f t="shared" si="1"/>
        <v>10.6</v>
      </c>
      <c r="X15" s="861">
        <f t="shared" si="2"/>
        <v>8.1999999999999993</v>
      </c>
      <c r="Y15" s="861"/>
      <c r="Z15" s="861"/>
      <c r="AA15" s="859">
        <f t="shared" si="9"/>
        <v>4.55</v>
      </c>
      <c r="AB15" s="859"/>
      <c r="AC15" s="858">
        <f t="shared" si="10"/>
        <v>3.9159999999999995</v>
      </c>
      <c r="AD15" s="862">
        <f t="shared" si="11"/>
        <v>0.94</v>
      </c>
      <c r="AE15" s="862">
        <f t="shared" si="12"/>
        <v>0.94</v>
      </c>
      <c r="AF15" s="859">
        <f t="shared" si="13"/>
        <v>436.79999999999995</v>
      </c>
      <c r="AG15" s="859"/>
      <c r="AH15" s="859">
        <f t="shared" si="14"/>
        <v>422.92799999999988</v>
      </c>
      <c r="AI15" s="859"/>
      <c r="AJ15" s="859"/>
      <c r="AK15" s="863">
        <f t="shared" si="3"/>
        <v>3.8541666666666665</v>
      </c>
      <c r="AL15" s="863"/>
      <c r="AM15" s="863">
        <f t="shared" si="4"/>
        <v>1.0421666666666667</v>
      </c>
      <c r="AN15" s="863">
        <f t="shared" si="4"/>
        <v>0</v>
      </c>
      <c r="AO15" s="863">
        <f t="shared" si="4"/>
        <v>0</v>
      </c>
      <c r="AP15" s="859">
        <f t="shared" ref="AP15:AP20" si="17">AF15*AK15</f>
        <v>1683.4999999999998</v>
      </c>
      <c r="AQ15" s="859"/>
      <c r="AR15" s="859">
        <f t="shared" ref="AR15:AR20" si="18">AH15*AM15</f>
        <v>440.76146399999988</v>
      </c>
      <c r="AS15" s="859"/>
      <c r="AT15" s="859"/>
      <c r="AU15" s="861">
        <f t="shared" si="5"/>
        <v>184.39769652777775</v>
      </c>
    </row>
    <row r="16" spans="1:47" ht="15.75" thickBot="1">
      <c r="A16" s="858">
        <v>6</v>
      </c>
      <c r="B16" s="858" t="s">
        <v>1024</v>
      </c>
      <c r="C16" s="858">
        <v>2</v>
      </c>
      <c r="D16" s="859">
        <v>1.4</v>
      </c>
      <c r="E16" s="859">
        <v>1.4</v>
      </c>
      <c r="F16" s="859">
        <v>3</v>
      </c>
      <c r="G16" s="858">
        <v>0.12</v>
      </c>
      <c r="H16" s="859">
        <f t="shared" si="6"/>
        <v>2.88</v>
      </c>
      <c r="I16" s="859">
        <f t="shared" si="7"/>
        <v>11.2896</v>
      </c>
      <c r="J16" s="859">
        <f t="shared" si="8"/>
        <v>32.256</v>
      </c>
      <c r="K16" s="864"/>
      <c r="L16" s="858">
        <v>25</v>
      </c>
      <c r="M16" s="858"/>
      <c r="N16" s="858">
        <v>13</v>
      </c>
      <c r="O16" s="858"/>
      <c r="P16" s="858"/>
      <c r="Q16" s="858">
        <v>0.1</v>
      </c>
      <c r="R16" s="858">
        <v>0.15</v>
      </c>
      <c r="S16" s="858">
        <v>0.1</v>
      </c>
      <c r="T16" s="858">
        <v>40</v>
      </c>
      <c r="U16" s="858"/>
      <c r="V16" s="861">
        <f t="shared" si="0"/>
        <v>8.1999999999999993</v>
      </c>
      <c r="W16" s="861">
        <f t="shared" si="1"/>
        <v>10.6</v>
      </c>
      <c r="X16" s="861">
        <f t="shared" si="2"/>
        <v>8.1999999999999993</v>
      </c>
      <c r="Y16" s="861"/>
      <c r="Z16" s="861"/>
      <c r="AA16" s="859">
        <f t="shared" si="9"/>
        <v>4.55</v>
      </c>
      <c r="AB16" s="859"/>
      <c r="AC16" s="858">
        <f t="shared" si="10"/>
        <v>5.5159999999999991</v>
      </c>
      <c r="AD16" s="862">
        <f t="shared" si="11"/>
        <v>1.3399999999999999</v>
      </c>
      <c r="AE16" s="862">
        <f t="shared" si="12"/>
        <v>1.3399999999999999</v>
      </c>
      <c r="AF16" s="859">
        <f t="shared" si="13"/>
        <v>364</v>
      </c>
      <c r="AG16" s="859"/>
      <c r="AH16" s="859">
        <f t="shared" si="14"/>
        <v>297.86399999999992</v>
      </c>
      <c r="AI16" s="859"/>
      <c r="AJ16" s="859"/>
      <c r="AK16" s="863">
        <f t="shared" si="3"/>
        <v>3.8541666666666665</v>
      </c>
      <c r="AL16" s="863"/>
      <c r="AM16" s="863">
        <f t="shared" si="4"/>
        <v>1.0421666666666667</v>
      </c>
      <c r="AN16" s="863">
        <f t="shared" si="4"/>
        <v>0</v>
      </c>
      <c r="AO16" s="863">
        <f t="shared" si="4"/>
        <v>0</v>
      </c>
      <c r="AP16" s="859">
        <f t="shared" si="17"/>
        <v>1402.9166666666665</v>
      </c>
      <c r="AQ16" s="859"/>
      <c r="AR16" s="859">
        <f t="shared" si="18"/>
        <v>310.42393199999992</v>
      </c>
      <c r="AS16" s="859"/>
      <c r="AT16" s="859"/>
      <c r="AU16" s="861">
        <f t="shared" si="5"/>
        <v>151.76273726851849</v>
      </c>
    </row>
    <row r="17" spans="1:47" ht="15.75" thickBot="1">
      <c r="A17" s="858">
        <v>7</v>
      </c>
      <c r="B17" s="858" t="s">
        <v>1025</v>
      </c>
      <c r="C17" s="858">
        <v>5</v>
      </c>
      <c r="D17" s="859">
        <v>0.5</v>
      </c>
      <c r="E17" s="859">
        <v>0.5</v>
      </c>
      <c r="F17" s="859">
        <v>3</v>
      </c>
      <c r="G17" s="858">
        <v>0.12</v>
      </c>
      <c r="H17" s="859">
        <f t="shared" si="6"/>
        <v>2.88</v>
      </c>
      <c r="I17" s="859">
        <f t="shared" si="7"/>
        <v>3.5999999999999996</v>
      </c>
      <c r="J17" s="859">
        <f t="shared" si="8"/>
        <v>28.799999999999997</v>
      </c>
      <c r="K17" s="864"/>
      <c r="L17" s="858">
        <v>16</v>
      </c>
      <c r="M17" s="858"/>
      <c r="N17" s="858">
        <v>8</v>
      </c>
      <c r="O17" s="858"/>
      <c r="P17" s="858"/>
      <c r="Q17" s="858">
        <v>0.1</v>
      </c>
      <c r="R17" s="858">
        <v>0.15</v>
      </c>
      <c r="S17" s="858">
        <v>0.1</v>
      </c>
      <c r="T17" s="858">
        <v>12</v>
      </c>
      <c r="U17" s="858"/>
      <c r="V17" s="861">
        <f t="shared" si="0"/>
        <v>8.1999999999999993</v>
      </c>
      <c r="W17" s="861">
        <f t="shared" si="1"/>
        <v>10.6</v>
      </c>
      <c r="X17" s="861">
        <f t="shared" si="2"/>
        <v>8.1999999999999993</v>
      </c>
      <c r="Y17" s="861"/>
      <c r="Z17" s="861"/>
      <c r="AA17" s="859">
        <f t="shared" si="9"/>
        <v>3.992</v>
      </c>
      <c r="AB17" s="859"/>
      <c r="AC17" s="858">
        <f t="shared" si="10"/>
        <v>1.8560000000000001</v>
      </c>
      <c r="AD17" s="862">
        <f t="shared" si="11"/>
        <v>0.44</v>
      </c>
      <c r="AE17" s="862">
        <f t="shared" si="12"/>
        <v>0.44</v>
      </c>
      <c r="AF17" s="859">
        <f t="shared" si="13"/>
        <v>239.51999999999998</v>
      </c>
      <c r="AG17" s="859"/>
      <c r="AH17" s="859">
        <f t="shared" si="14"/>
        <v>250.55999999999997</v>
      </c>
      <c r="AI17" s="859"/>
      <c r="AJ17" s="859"/>
      <c r="AK17" s="863">
        <f t="shared" si="3"/>
        <v>1.5786666666666667</v>
      </c>
      <c r="AL17" s="863"/>
      <c r="AM17" s="863">
        <f t="shared" si="4"/>
        <v>0.39466666666666667</v>
      </c>
      <c r="AN17" s="863">
        <f t="shared" si="4"/>
        <v>0</v>
      </c>
      <c r="AO17" s="863">
        <f t="shared" si="4"/>
        <v>0</v>
      </c>
      <c r="AP17" s="859">
        <f t="shared" si="17"/>
        <v>378.12223999999998</v>
      </c>
      <c r="AQ17" s="859"/>
      <c r="AR17" s="859">
        <f t="shared" si="18"/>
        <v>98.887679999999989</v>
      </c>
      <c r="AS17" s="859"/>
      <c r="AT17" s="859"/>
      <c r="AU17" s="861">
        <f t="shared" si="5"/>
        <v>132.50275555555555</v>
      </c>
    </row>
    <row r="18" spans="1:47" ht="15.75" thickBot="1">
      <c r="A18" s="858">
        <v>8</v>
      </c>
      <c r="B18" s="858" t="s">
        <v>1026</v>
      </c>
      <c r="C18" s="858">
        <v>8</v>
      </c>
      <c r="D18" s="859">
        <v>0.8</v>
      </c>
      <c r="E18" s="859">
        <v>0.8</v>
      </c>
      <c r="F18" s="859">
        <v>3</v>
      </c>
      <c r="G18" s="858">
        <v>0.12</v>
      </c>
      <c r="H18" s="859">
        <f t="shared" si="6"/>
        <v>2.88</v>
      </c>
      <c r="I18" s="859">
        <f t="shared" si="7"/>
        <v>14.7456</v>
      </c>
      <c r="J18" s="859">
        <f t="shared" si="8"/>
        <v>73.727999999999994</v>
      </c>
      <c r="K18" s="864"/>
      <c r="L18" s="858">
        <v>25</v>
      </c>
      <c r="M18" s="858"/>
      <c r="N18" s="858">
        <v>8</v>
      </c>
      <c r="O18" s="858"/>
      <c r="P18" s="858"/>
      <c r="Q18" s="858">
        <v>0.1</v>
      </c>
      <c r="R18" s="858">
        <v>0.15</v>
      </c>
      <c r="S18" s="858">
        <v>0.1</v>
      </c>
      <c r="T18" s="858">
        <v>16</v>
      </c>
      <c r="U18" s="858"/>
      <c r="V18" s="861">
        <f t="shared" si="0"/>
        <v>8.1999999999999993</v>
      </c>
      <c r="W18" s="861">
        <f t="shared" si="1"/>
        <v>10.6</v>
      </c>
      <c r="X18" s="861">
        <f t="shared" si="2"/>
        <v>8.1999999999999993</v>
      </c>
      <c r="Y18" s="861"/>
      <c r="Z18" s="861"/>
      <c r="AA18" s="859">
        <f t="shared" si="9"/>
        <v>4.55</v>
      </c>
      <c r="AB18" s="859"/>
      <c r="AC18" s="863">
        <f>(2*D18)+(2*E18)+(2*6*N18/1000)-(8*0.03)</f>
        <v>3.056</v>
      </c>
      <c r="AD18" s="862">
        <f t="shared" si="11"/>
        <v>0.74</v>
      </c>
      <c r="AE18" s="862">
        <f t="shared" si="12"/>
        <v>0.74</v>
      </c>
      <c r="AF18" s="859">
        <f t="shared" si="13"/>
        <v>582.4</v>
      </c>
      <c r="AG18" s="859"/>
      <c r="AH18" s="859">
        <f t="shared" si="14"/>
        <v>660.09599999999989</v>
      </c>
      <c r="AI18" s="859"/>
      <c r="AJ18" s="859"/>
      <c r="AK18" s="863">
        <f t="shared" si="3"/>
        <v>3.8541666666666665</v>
      </c>
      <c r="AL18" s="863"/>
      <c r="AM18" s="863">
        <f t="shared" si="4"/>
        <v>0.39466666666666667</v>
      </c>
      <c r="AN18" s="863">
        <f t="shared" si="4"/>
        <v>0</v>
      </c>
      <c r="AO18" s="863">
        <f t="shared" si="4"/>
        <v>0</v>
      </c>
      <c r="AP18" s="859">
        <f t="shared" si="17"/>
        <v>2244.6666666666665</v>
      </c>
      <c r="AQ18" s="859"/>
      <c r="AR18" s="859">
        <f t="shared" si="18"/>
        <v>260.51788799999997</v>
      </c>
      <c r="AS18" s="859"/>
      <c r="AT18" s="859"/>
      <c r="AU18" s="861">
        <f t="shared" si="5"/>
        <v>169.89370081018518</v>
      </c>
    </row>
    <row r="19" spans="1:47" ht="15.75" thickBot="1">
      <c r="A19" s="858">
        <v>9</v>
      </c>
      <c r="B19" s="858" t="s">
        <v>1027</v>
      </c>
      <c r="C19" s="858">
        <v>2</v>
      </c>
      <c r="D19" s="859">
        <v>0.6</v>
      </c>
      <c r="E19" s="859">
        <v>0.6</v>
      </c>
      <c r="F19" s="859">
        <v>3</v>
      </c>
      <c r="G19" s="858">
        <v>0.12</v>
      </c>
      <c r="H19" s="859">
        <f t="shared" si="6"/>
        <v>2.88</v>
      </c>
      <c r="I19" s="859">
        <f t="shared" si="7"/>
        <v>2.0735999999999999</v>
      </c>
      <c r="J19" s="859">
        <f t="shared" si="8"/>
        <v>13.824</v>
      </c>
      <c r="K19" s="864"/>
      <c r="L19" s="858">
        <v>19</v>
      </c>
      <c r="M19" s="858"/>
      <c r="N19" s="858">
        <v>8</v>
      </c>
      <c r="O19" s="858"/>
      <c r="P19" s="858"/>
      <c r="Q19" s="858">
        <v>0.1</v>
      </c>
      <c r="R19" s="858">
        <v>0.15</v>
      </c>
      <c r="S19" s="858">
        <v>0.1</v>
      </c>
      <c r="T19" s="858">
        <v>16</v>
      </c>
      <c r="U19" s="858"/>
      <c r="V19" s="861">
        <f t="shared" si="0"/>
        <v>8.1999999999999993</v>
      </c>
      <c r="W19" s="861">
        <f t="shared" si="1"/>
        <v>10.6</v>
      </c>
      <c r="X19" s="861">
        <f t="shared" si="2"/>
        <v>8.1999999999999993</v>
      </c>
      <c r="Y19" s="861"/>
      <c r="Z19" s="861"/>
      <c r="AA19" s="859">
        <f t="shared" si="9"/>
        <v>4.1779999999999999</v>
      </c>
      <c r="AB19" s="859"/>
      <c r="AC19" s="858">
        <f t="shared" ref="AC19:AC20" si="19">(2*D19)+(2*E19)+(2*6*N19/1000)-(8*0.03)</f>
        <v>2.2560000000000002</v>
      </c>
      <c r="AD19" s="862">
        <f t="shared" si="11"/>
        <v>0.54</v>
      </c>
      <c r="AE19" s="862">
        <f t="shared" si="12"/>
        <v>0.54</v>
      </c>
      <c r="AF19" s="859">
        <f t="shared" si="13"/>
        <v>133.696</v>
      </c>
      <c r="AG19" s="859"/>
      <c r="AH19" s="859">
        <f t="shared" si="14"/>
        <v>121.824</v>
      </c>
      <c r="AI19" s="859"/>
      <c r="AJ19" s="859"/>
      <c r="AK19" s="863">
        <f t="shared" si="3"/>
        <v>2.2261666666666664</v>
      </c>
      <c r="AL19" s="863"/>
      <c r="AM19" s="863">
        <f t="shared" si="4"/>
        <v>0.39466666666666667</v>
      </c>
      <c r="AN19" s="863">
        <f t="shared" si="4"/>
        <v>0</v>
      </c>
      <c r="AO19" s="863">
        <f t="shared" si="4"/>
        <v>0</v>
      </c>
      <c r="AP19" s="859">
        <f t="shared" si="17"/>
        <v>297.62957866666665</v>
      </c>
      <c r="AQ19" s="859"/>
      <c r="AR19" s="859">
        <f t="shared" si="18"/>
        <v>48.079872000000002</v>
      </c>
      <c r="AS19" s="859"/>
      <c r="AT19" s="859"/>
      <c r="AU19" s="861">
        <f t="shared" si="5"/>
        <v>166.71944958847737</v>
      </c>
    </row>
    <row r="20" spans="1:47" ht="15.75" thickBot="1">
      <c r="A20" s="858">
        <v>10</v>
      </c>
      <c r="B20" s="858" t="s">
        <v>1028</v>
      </c>
      <c r="C20" s="858">
        <v>15</v>
      </c>
      <c r="D20" s="859">
        <v>0.6</v>
      </c>
      <c r="E20" s="859">
        <v>0.6</v>
      </c>
      <c r="F20" s="859">
        <v>3</v>
      </c>
      <c r="G20" s="858">
        <v>0.12</v>
      </c>
      <c r="H20" s="859">
        <f t="shared" si="6"/>
        <v>2.88</v>
      </c>
      <c r="I20" s="859">
        <f t="shared" si="7"/>
        <v>15.552</v>
      </c>
      <c r="J20" s="859">
        <f t="shared" si="8"/>
        <v>103.67999999999999</v>
      </c>
      <c r="K20" s="864"/>
      <c r="L20" s="858">
        <v>19</v>
      </c>
      <c r="M20" s="858"/>
      <c r="N20" s="858">
        <v>8</v>
      </c>
      <c r="O20" s="858"/>
      <c r="P20" s="858"/>
      <c r="Q20" s="858">
        <v>0.1</v>
      </c>
      <c r="R20" s="858">
        <v>0.15</v>
      </c>
      <c r="S20" s="858">
        <v>0.1</v>
      </c>
      <c r="T20" s="858">
        <v>20</v>
      </c>
      <c r="U20" s="858"/>
      <c r="V20" s="861">
        <f t="shared" si="0"/>
        <v>8.1999999999999993</v>
      </c>
      <c r="W20" s="861">
        <f t="shared" si="1"/>
        <v>10.6</v>
      </c>
      <c r="X20" s="861">
        <f t="shared" si="2"/>
        <v>8.1999999999999993</v>
      </c>
      <c r="Y20" s="861"/>
      <c r="Z20" s="861"/>
      <c r="AA20" s="859">
        <f t="shared" si="9"/>
        <v>4.1779999999999999</v>
      </c>
      <c r="AB20" s="859"/>
      <c r="AC20" s="858">
        <f t="shared" si="19"/>
        <v>2.2560000000000002</v>
      </c>
      <c r="AD20" s="862">
        <f t="shared" si="11"/>
        <v>0.54</v>
      </c>
      <c r="AE20" s="862">
        <f t="shared" si="12"/>
        <v>0.54</v>
      </c>
      <c r="AF20" s="859">
        <f t="shared" si="13"/>
        <v>1253.4000000000001</v>
      </c>
      <c r="AG20" s="859"/>
      <c r="AH20" s="859">
        <f t="shared" si="14"/>
        <v>913.68</v>
      </c>
      <c r="AI20" s="859"/>
      <c r="AJ20" s="859"/>
      <c r="AK20" s="863">
        <f t="shared" si="3"/>
        <v>2.2261666666666664</v>
      </c>
      <c r="AL20" s="863"/>
      <c r="AM20" s="863">
        <f t="shared" si="4"/>
        <v>0.39466666666666667</v>
      </c>
      <c r="AN20" s="863">
        <f t="shared" si="4"/>
        <v>0</v>
      </c>
      <c r="AO20" s="863">
        <f t="shared" si="4"/>
        <v>0</v>
      </c>
      <c r="AP20" s="859">
        <f t="shared" si="17"/>
        <v>2790.2772999999997</v>
      </c>
      <c r="AQ20" s="859"/>
      <c r="AR20" s="859">
        <f t="shared" si="18"/>
        <v>360.59904</v>
      </c>
      <c r="AS20" s="859"/>
      <c r="AT20" s="859"/>
      <c r="AU20" s="861">
        <f t="shared" si="5"/>
        <v>202.60264531893003</v>
      </c>
    </row>
    <row r="21" spans="1:47" ht="15.75" thickBot="1">
      <c r="A21" s="865"/>
      <c r="B21" s="866"/>
      <c r="C21" s="866"/>
      <c r="D21" s="867"/>
      <c r="E21" s="867"/>
      <c r="F21" s="867"/>
      <c r="G21" s="866"/>
      <c r="H21" s="867"/>
      <c r="I21" s="867"/>
      <c r="J21" s="868"/>
      <c r="K21" s="792"/>
      <c r="L21" s="865"/>
      <c r="M21" s="866"/>
      <c r="N21" s="866"/>
      <c r="O21" s="866"/>
      <c r="P21" s="866"/>
      <c r="Q21" s="866"/>
      <c r="R21" s="866"/>
      <c r="S21" s="866"/>
      <c r="T21" s="866"/>
      <c r="U21" s="866"/>
      <c r="V21" s="869"/>
      <c r="W21" s="869"/>
      <c r="X21" s="869"/>
      <c r="Y21" s="869"/>
      <c r="Z21" s="869"/>
      <c r="AA21" s="867"/>
      <c r="AB21" s="867"/>
      <c r="AC21" s="866"/>
      <c r="AD21" s="870"/>
      <c r="AE21" s="870"/>
      <c r="AF21" s="867"/>
      <c r="AG21" s="867"/>
      <c r="AH21" s="867"/>
      <c r="AI21" s="867"/>
      <c r="AJ21" s="867"/>
      <c r="AK21" s="871"/>
      <c r="AL21" s="871"/>
      <c r="AM21" s="871"/>
      <c r="AN21" s="871"/>
      <c r="AO21" s="871"/>
      <c r="AP21" s="867" t="s">
        <v>1029</v>
      </c>
      <c r="AQ21" s="867"/>
      <c r="AR21" s="867"/>
      <c r="AS21" s="867"/>
      <c r="AT21" s="867"/>
      <c r="AU21" s="872"/>
    </row>
    <row r="22" spans="1:47">
      <c r="A22" s="796" t="s">
        <v>66</v>
      </c>
      <c r="B22" s="797" t="s">
        <v>983</v>
      </c>
      <c r="C22" s="797"/>
      <c r="D22" s="798" t="s">
        <v>984</v>
      </c>
      <c r="E22" s="798"/>
      <c r="F22" s="798"/>
      <c r="G22" s="799" t="s">
        <v>985</v>
      </c>
      <c r="H22" s="799" t="s">
        <v>986</v>
      </c>
      <c r="I22" s="798" t="s">
        <v>392</v>
      </c>
      <c r="J22" s="800" t="s">
        <v>377</v>
      </c>
      <c r="K22" s="792"/>
      <c r="L22" s="801" t="s">
        <v>987</v>
      </c>
      <c r="M22" s="802"/>
      <c r="N22" s="803" t="s">
        <v>988</v>
      </c>
      <c r="O22" s="803"/>
      <c r="P22" s="803"/>
      <c r="Q22" s="804" t="s">
        <v>989</v>
      </c>
      <c r="R22" s="805"/>
      <c r="S22" s="873"/>
      <c r="T22" s="804"/>
      <c r="U22" s="805"/>
      <c r="V22" s="806" t="s">
        <v>990</v>
      </c>
      <c r="W22" s="806"/>
      <c r="X22" s="806"/>
      <c r="Y22" s="806"/>
      <c r="Z22" s="806"/>
      <c r="AA22" s="807" t="s">
        <v>991</v>
      </c>
      <c r="AB22" s="808"/>
      <c r="AC22" s="809" t="s">
        <v>1030</v>
      </c>
      <c r="AD22" s="809"/>
      <c r="AE22" s="809"/>
      <c r="AF22" s="810" t="s">
        <v>993</v>
      </c>
      <c r="AG22" s="811"/>
      <c r="AH22" s="798" t="s">
        <v>994</v>
      </c>
      <c r="AI22" s="798"/>
      <c r="AJ22" s="798"/>
      <c r="AK22" s="812" t="s">
        <v>995</v>
      </c>
      <c r="AL22" s="813"/>
      <c r="AM22" s="814" t="s">
        <v>996</v>
      </c>
      <c r="AN22" s="814"/>
      <c r="AO22" s="814"/>
      <c r="AP22" s="798" t="s">
        <v>997</v>
      </c>
      <c r="AQ22" s="798"/>
      <c r="AR22" s="798"/>
      <c r="AS22" s="798"/>
      <c r="AT22" s="798"/>
      <c r="AU22" s="815" t="s">
        <v>998</v>
      </c>
    </row>
    <row r="23" spans="1:47" ht="15.75" thickBot="1">
      <c r="A23" s="816"/>
      <c r="B23" s="817" t="s">
        <v>372</v>
      </c>
      <c r="C23" s="817" t="s">
        <v>372</v>
      </c>
      <c r="D23" s="818" t="s">
        <v>999</v>
      </c>
      <c r="E23" s="818" t="s">
        <v>1000</v>
      </c>
      <c r="F23" s="818" t="s">
        <v>1001</v>
      </c>
      <c r="G23" s="819" t="s">
        <v>1002</v>
      </c>
      <c r="H23" s="819" t="s">
        <v>1003</v>
      </c>
      <c r="I23" s="818"/>
      <c r="J23" s="820"/>
      <c r="K23" s="792"/>
      <c r="L23" s="821" t="s">
        <v>1006</v>
      </c>
      <c r="M23" s="822"/>
      <c r="N23" s="819" t="s">
        <v>1004</v>
      </c>
      <c r="O23" s="819" t="s">
        <v>1005</v>
      </c>
      <c r="P23" s="819"/>
      <c r="Q23" s="852" t="s">
        <v>1001</v>
      </c>
      <c r="R23" s="852" t="s">
        <v>1000</v>
      </c>
      <c r="S23" s="852" t="s">
        <v>1001</v>
      </c>
      <c r="T23" s="823" t="s">
        <v>1006</v>
      </c>
      <c r="U23" s="824"/>
      <c r="V23" s="825" t="s">
        <v>1007</v>
      </c>
      <c r="W23" s="825"/>
      <c r="X23" s="825"/>
      <c r="Y23" s="825" t="s">
        <v>1005</v>
      </c>
      <c r="Z23" s="825"/>
      <c r="AA23" s="826" t="s">
        <v>1008</v>
      </c>
      <c r="AB23" s="827"/>
      <c r="AC23" s="819" t="s">
        <v>1004</v>
      </c>
      <c r="AD23" s="828" t="s">
        <v>1005</v>
      </c>
      <c r="AE23" s="828"/>
      <c r="AF23" s="829" t="s">
        <v>1006</v>
      </c>
      <c r="AG23" s="830"/>
      <c r="AH23" s="818" t="s">
        <v>1004</v>
      </c>
      <c r="AI23" s="818" t="s">
        <v>1005</v>
      </c>
      <c r="AJ23" s="818"/>
      <c r="AK23" s="831" t="s">
        <v>1009</v>
      </c>
      <c r="AL23" s="832"/>
      <c r="AM23" s="833"/>
      <c r="AN23" s="833"/>
      <c r="AO23" s="833"/>
      <c r="AP23" s="818" t="s">
        <v>1006</v>
      </c>
      <c r="AQ23" s="818"/>
      <c r="AR23" s="818" t="s">
        <v>1010</v>
      </c>
      <c r="AS23" s="818"/>
      <c r="AT23" s="818"/>
      <c r="AU23" s="834" t="s">
        <v>1011</v>
      </c>
    </row>
    <row r="24" spans="1:47" ht="15.75" thickTop="1">
      <c r="A24" s="816"/>
      <c r="B24" s="817"/>
      <c r="C24" s="817"/>
      <c r="D24" s="818"/>
      <c r="E24" s="818"/>
      <c r="F24" s="818"/>
      <c r="G24" s="819"/>
      <c r="H24" s="819"/>
      <c r="I24" s="818"/>
      <c r="J24" s="820"/>
      <c r="K24" s="792"/>
      <c r="L24" s="835"/>
      <c r="M24" s="836"/>
      <c r="N24" s="819"/>
      <c r="O24" s="837" t="s">
        <v>494</v>
      </c>
      <c r="P24" s="837" t="s">
        <v>1012</v>
      </c>
      <c r="Q24" s="874"/>
      <c r="R24" s="874"/>
      <c r="S24" s="874"/>
      <c r="T24" s="838"/>
      <c r="U24" s="839"/>
      <c r="V24" s="840" t="s">
        <v>1001</v>
      </c>
      <c r="W24" s="840" t="s">
        <v>1000</v>
      </c>
      <c r="X24" s="840" t="s">
        <v>1001</v>
      </c>
      <c r="Y24" s="840" t="s">
        <v>494</v>
      </c>
      <c r="Z24" s="840" t="s">
        <v>1012</v>
      </c>
      <c r="AA24" s="841" t="s">
        <v>1013</v>
      </c>
      <c r="AB24" s="842"/>
      <c r="AC24" s="819"/>
      <c r="AD24" s="843" t="s">
        <v>494</v>
      </c>
      <c r="AE24" s="843" t="s">
        <v>1012</v>
      </c>
      <c r="AF24" s="844"/>
      <c r="AG24" s="842"/>
      <c r="AH24" s="818"/>
      <c r="AI24" s="845" t="s">
        <v>494</v>
      </c>
      <c r="AJ24" s="845" t="s">
        <v>1012</v>
      </c>
      <c r="AK24" s="846" t="s">
        <v>1013</v>
      </c>
      <c r="AL24" s="847"/>
      <c r="AM24" s="833"/>
      <c r="AN24" s="833"/>
      <c r="AO24" s="833"/>
      <c r="AP24" s="818"/>
      <c r="AQ24" s="818"/>
      <c r="AR24" s="818"/>
      <c r="AS24" s="818"/>
      <c r="AT24" s="818"/>
      <c r="AU24" s="834"/>
    </row>
    <row r="25" spans="1:47" ht="15.75" thickBot="1">
      <c r="A25" s="848"/>
      <c r="B25" s="817"/>
      <c r="C25" s="817"/>
      <c r="D25" s="849" t="s">
        <v>151</v>
      </c>
      <c r="E25" s="849"/>
      <c r="F25" s="849"/>
      <c r="G25" s="849"/>
      <c r="H25" s="849"/>
      <c r="I25" s="850" t="s">
        <v>1014</v>
      </c>
      <c r="J25" s="851" t="s">
        <v>1015</v>
      </c>
      <c r="K25" s="792"/>
      <c r="L25" s="848" t="s">
        <v>1016</v>
      </c>
      <c r="M25" s="852"/>
      <c r="N25" s="852" t="s">
        <v>1016</v>
      </c>
      <c r="O25" s="852"/>
      <c r="P25" s="852"/>
      <c r="Q25" s="823" t="s">
        <v>151</v>
      </c>
      <c r="R25" s="853"/>
      <c r="S25" s="824"/>
      <c r="T25" s="823" t="s">
        <v>34</v>
      </c>
      <c r="U25" s="853"/>
      <c r="V25" s="854" t="s">
        <v>34</v>
      </c>
      <c r="W25" s="854"/>
      <c r="X25" s="854"/>
      <c r="Y25" s="854"/>
      <c r="Z25" s="854"/>
      <c r="AA25" s="849" t="s">
        <v>151</v>
      </c>
      <c r="AB25" s="849"/>
      <c r="AC25" s="852" t="s">
        <v>151</v>
      </c>
      <c r="AD25" s="852"/>
      <c r="AE25" s="852"/>
      <c r="AF25" s="849" t="s">
        <v>151</v>
      </c>
      <c r="AG25" s="849"/>
      <c r="AH25" s="849" t="s">
        <v>151</v>
      </c>
      <c r="AI25" s="849"/>
      <c r="AJ25" s="849"/>
      <c r="AK25" s="855" t="s">
        <v>1017</v>
      </c>
      <c r="AL25" s="855"/>
      <c r="AM25" s="855"/>
      <c r="AN25" s="855"/>
      <c r="AO25" s="855"/>
      <c r="AP25" s="849" t="s">
        <v>7</v>
      </c>
      <c r="AQ25" s="849"/>
      <c r="AR25" s="849"/>
      <c r="AS25" s="849"/>
      <c r="AT25" s="849"/>
      <c r="AU25" s="856"/>
    </row>
    <row r="26" spans="1:47" ht="15.75" thickBot="1">
      <c r="A26" s="857" t="s">
        <v>1031</v>
      </c>
      <c r="B26" s="858"/>
      <c r="C26" s="858"/>
      <c r="D26" s="859"/>
      <c r="E26" s="859"/>
      <c r="F26" s="859"/>
      <c r="G26" s="858"/>
      <c r="H26" s="859"/>
      <c r="I26" s="859"/>
      <c r="J26" s="859"/>
      <c r="K26" s="792"/>
      <c r="L26" s="860" t="str">
        <f>A26</f>
        <v>Kolom Lantai 1</v>
      </c>
      <c r="M26" s="858"/>
      <c r="N26" s="858"/>
      <c r="O26" s="858"/>
      <c r="P26" s="858"/>
      <c r="Q26" s="858"/>
      <c r="R26" s="858"/>
      <c r="S26" s="858"/>
      <c r="T26" s="858"/>
      <c r="U26" s="858"/>
      <c r="V26" s="861"/>
      <c r="W26" s="861"/>
      <c r="X26" s="861"/>
      <c r="Y26" s="861"/>
      <c r="Z26" s="861"/>
      <c r="AA26" s="859"/>
      <c r="AB26" s="859"/>
      <c r="AC26" s="858"/>
      <c r="AD26" s="862"/>
      <c r="AE26" s="862"/>
      <c r="AF26" s="859"/>
      <c r="AG26" s="859"/>
      <c r="AH26" s="859"/>
      <c r="AI26" s="859"/>
      <c r="AJ26" s="859"/>
      <c r="AK26" s="863"/>
      <c r="AL26" s="863"/>
      <c r="AM26" s="863"/>
      <c r="AN26" s="863"/>
      <c r="AO26" s="863"/>
      <c r="AP26" s="859"/>
      <c r="AQ26" s="859"/>
      <c r="AR26" s="859"/>
      <c r="AS26" s="859"/>
      <c r="AT26" s="859"/>
      <c r="AU26" s="861"/>
    </row>
    <row r="27" spans="1:47" ht="15.75" thickBot="1">
      <c r="A27" s="858">
        <v>1</v>
      </c>
      <c r="B27" s="858" t="s">
        <v>1019</v>
      </c>
      <c r="C27" s="858">
        <v>17</v>
      </c>
      <c r="D27" s="859">
        <v>1</v>
      </c>
      <c r="E27" s="859">
        <v>1</v>
      </c>
      <c r="F27" s="859">
        <v>3</v>
      </c>
      <c r="G27" s="858">
        <v>0.12</v>
      </c>
      <c r="H27" s="859">
        <f>F27-G27</f>
        <v>2.88</v>
      </c>
      <c r="I27" s="859">
        <f>H27*E27*D27*C27</f>
        <v>48.96</v>
      </c>
      <c r="J27" s="859">
        <f>(D27+D27+E27+E27)*H27*C27</f>
        <v>195.84</v>
      </c>
      <c r="K27" s="792"/>
      <c r="L27" s="858">
        <v>25</v>
      </c>
      <c r="M27" s="858"/>
      <c r="N27" s="858">
        <v>13</v>
      </c>
      <c r="O27" s="858"/>
      <c r="P27" s="858"/>
      <c r="Q27" s="858">
        <v>0.1</v>
      </c>
      <c r="R27" s="858">
        <v>0.15</v>
      </c>
      <c r="S27" s="858">
        <v>0.1</v>
      </c>
      <c r="T27" s="858">
        <v>24</v>
      </c>
      <c r="U27" s="858"/>
      <c r="V27" s="861">
        <f t="shared" ref="V27:V35" si="20">(H27/4)/Q27+1</f>
        <v>8.1999999999999993</v>
      </c>
      <c r="W27" s="861">
        <f t="shared" ref="W27:W35" si="21">(H27/2)/R27+1</f>
        <v>10.6</v>
      </c>
      <c r="X27" s="861">
        <f t="shared" ref="X27:X35" si="22">(H27/4)/S27+1</f>
        <v>8.1999999999999993</v>
      </c>
      <c r="Y27" s="861"/>
      <c r="Z27" s="861"/>
      <c r="AA27" s="859">
        <f>(H27)+(2*6*L27/1000)+(50*L27/1000)+(0.12)</f>
        <v>4.55</v>
      </c>
      <c r="AB27" s="859"/>
      <c r="AC27" s="858">
        <f>(2*D27)+(2*E27)+(2*6*N27/1000)-(8*0.03)</f>
        <v>3.9159999999999995</v>
      </c>
      <c r="AD27" s="862">
        <f>(E27)+(2*6*O27/1000)-(2*0.03)</f>
        <v>0.94</v>
      </c>
      <c r="AE27" s="862">
        <f>(D27)+(2*6*P27/1000)-(2*0.03)</f>
        <v>0.94</v>
      </c>
      <c r="AF27" s="859">
        <f>AA27*T27*C27</f>
        <v>1856.3999999999999</v>
      </c>
      <c r="AG27" s="859"/>
      <c r="AH27" s="859">
        <f>AC27*(V27+W27+X27)*C27</f>
        <v>1797.4439999999995</v>
      </c>
      <c r="AI27" s="859"/>
      <c r="AJ27" s="859"/>
      <c r="AK27" s="863">
        <f t="shared" ref="AK27:AK35" si="23">L27*L27*0.074/12</f>
        <v>3.8541666666666665</v>
      </c>
      <c r="AL27" s="863"/>
      <c r="AM27" s="863">
        <f t="shared" ref="AM27:AM35" si="24">N27*N27*0.074/12</f>
        <v>1.0421666666666667</v>
      </c>
      <c r="AN27" s="863"/>
      <c r="AO27" s="863"/>
      <c r="AP27" s="859">
        <f>AF27*AK27</f>
        <v>7154.8749999999991</v>
      </c>
      <c r="AQ27" s="859"/>
      <c r="AR27" s="859">
        <f>AH27*AM27</f>
        <v>1873.2362219999995</v>
      </c>
      <c r="AS27" s="859"/>
      <c r="AT27" s="859"/>
      <c r="AU27" s="861">
        <f t="shared" ref="AU27:AU35" si="25">SUM(AP27:AT27)/I27</f>
        <v>184.39769652777775</v>
      </c>
    </row>
    <row r="28" spans="1:47" ht="15.75" thickBot="1">
      <c r="A28" s="858">
        <v>2</v>
      </c>
      <c r="B28" s="858" t="s">
        <v>1020</v>
      </c>
      <c r="C28" s="858">
        <v>4</v>
      </c>
      <c r="D28" s="859">
        <v>1.1000000000000001</v>
      </c>
      <c r="E28" s="859">
        <v>1.1000000000000001</v>
      </c>
      <c r="F28" s="859">
        <v>3</v>
      </c>
      <c r="G28" s="858">
        <v>0.12</v>
      </c>
      <c r="H28" s="859">
        <f t="shared" ref="H28:H35" si="26">F28-G28</f>
        <v>2.88</v>
      </c>
      <c r="I28" s="859">
        <f t="shared" ref="I28:I35" si="27">H28*E28*D28*C28</f>
        <v>13.939200000000001</v>
      </c>
      <c r="J28" s="859">
        <f t="shared" ref="J28:J35" si="28">(D28+D28+E28+E28)*H28*C28</f>
        <v>50.688000000000002</v>
      </c>
      <c r="K28" s="792"/>
      <c r="L28" s="858">
        <v>25</v>
      </c>
      <c r="M28" s="858"/>
      <c r="N28" s="858">
        <v>13</v>
      </c>
      <c r="O28" s="858"/>
      <c r="P28" s="858"/>
      <c r="Q28" s="858">
        <v>0.1</v>
      </c>
      <c r="R28" s="858">
        <v>0.15</v>
      </c>
      <c r="S28" s="858">
        <v>0.1</v>
      </c>
      <c r="T28" s="858">
        <v>24</v>
      </c>
      <c r="U28" s="858"/>
      <c r="V28" s="861">
        <f t="shared" si="20"/>
        <v>8.1999999999999993</v>
      </c>
      <c r="W28" s="861">
        <f t="shared" si="21"/>
        <v>10.6</v>
      </c>
      <c r="X28" s="861">
        <f t="shared" si="22"/>
        <v>8.1999999999999993</v>
      </c>
      <c r="Y28" s="861"/>
      <c r="Z28" s="861"/>
      <c r="AA28" s="859">
        <f t="shared" ref="AA28:AA35" si="29">(H28)+(2*6*L28/1000)+(50*L28/1000)+(0.12)</f>
        <v>4.55</v>
      </c>
      <c r="AB28" s="859"/>
      <c r="AC28" s="858">
        <f t="shared" ref="AC28:AC35" si="30">(2*D28)+(2*E28)+(2*6*N28/1000)-(8*0.03)</f>
        <v>4.3159999999999998</v>
      </c>
      <c r="AD28" s="862">
        <f t="shared" ref="AD28:AD35" si="31">(E28)+(2*6*O28/1000)-(2*0.03)</f>
        <v>1.04</v>
      </c>
      <c r="AE28" s="862">
        <f t="shared" ref="AE28:AE35" si="32">(D28)+(2*6*P28/1000)-(2*0.03)</f>
        <v>1.04</v>
      </c>
      <c r="AF28" s="859">
        <f t="shared" ref="AF28:AF35" si="33">AA28*T28*C28</f>
        <v>436.79999999999995</v>
      </c>
      <c r="AG28" s="859"/>
      <c r="AH28" s="859">
        <f t="shared" ref="AH28:AH35" si="34">AC28*(V28+W28+X28)*C28</f>
        <v>466.12799999999993</v>
      </c>
      <c r="AI28" s="859"/>
      <c r="AJ28" s="859"/>
      <c r="AK28" s="863">
        <f t="shared" si="23"/>
        <v>3.8541666666666665</v>
      </c>
      <c r="AL28" s="863"/>
      <c r="AM28" s="863">
        <f t="shared" si="24"/>
        <v>1.0421666666666667</v>
      </c>
      <c r="AN28" s="863"/>
      <c r="AO28" s="863"/>
      <c r="AP28" s="859">
        <f t="shared" ref="AP28" si="35">AF28*AK28</f>
        <v>1683.4999999999998</v>
      </c>
      <c r="AQ28" s="859"/>
      <c r="AR28" s="859">
        <f t="shared" ref="AR28" si="36">AH28*AM28</f>
        <v>485.78306399999991</v>
      </c>
      <c r="AS28" s="859"/>
      <c r="AT28" s="859"/>
      <c r="AU28" s="861">
        <f t="shared" si="25"/>
        <v>155.62464589072539</v>
      </c>
    </row>
    <row r="29" spans="1:47" ht="15.75" thickBot="1">
      <c r="A29" s="858">
        <v>3</v>
      </c>
      <c r="B29" s="858" t="s">
        <v>1021</v>
      </c>
      <c r="C29" s="858">
        <v>21</v>
      </c>
      <c r="D29" s="859">
        <v>0.5</v>
      </c>
      <c r="E29" s="859">
        <v>0.5</v>
      </c>
      <c r="F29" s="859">
        <v>3</v>
      </c>
      <c r="G29" s="858">
        <v>0.12</v>
      </c>
      <c r="H29" s="859">
        <f t="shared" si="26"/>
        <v>2.88</v>
      </c>
      <c r="I29" s="859">
        <f t="shared" si="27"/>
        <v>15.12</v>
      </c>
      <c r="J29" s="859">
        <f t="shared" si="28"/>
        <v>120.96</v>
      </c>
      <c r="K29" s="792"/>
      <c r="L29" s="858">
        <v>16</v>
      </c>
      <c r="M29" s="858"/>
      <c r="N29" s="858">
        <v>8</v>
      </c>
      <c r="O29" s="858"/>
      <c r="P29" s="858"/>
      <c r="Q29" s="858">
        <v>0.1</v>
      </c>
      <c r="R29" s="858">
        <v>0.15</v>
      </c>
      <c r="S29" s="858">
        <v>0.1</v>
      </c>
      <c r="T29" s="858">
        <v>12</v>
      </c>
      <c r="U29" s="858"/>
      <c r="V29" s="861">
        <f t="shared" si="20"/>
        <v>8.1999999999999993</v>
      </c>
      <c r="W29" s="861">
        <f t="shared" si="21"/>
        <v>10.6</v>
      </c>
      <c r="X29" s="861">
        <f t="shared" si="22"/>
        <v>8.1999999999999993</v>
      </c>
      <c r="Y29" s="861"/>
      <c r="Z29" s="861"/>
      <c r="AA29" s="859">
        <f t="shared" si="29"/>
        <v>3.992</v>
      </c>
      <c r="AB29" s="859"/>
      <c r="AC29" s="858">
        <f t="shared" si="30"/>
        <v>1.8560000000000001</v>
      </c>
      <c r="AD29" s="862">
        <f t="shared" si="31"/>
        <v>0.44</v>
      </c>
      <c r="AE29" s="862">
        <f t="shared" si="32"/>
        <v>0.44</v>
      </c>
      <c r="AF29" s="859">
        <f t="shared" si="33"/>
        <v>1005.9839999999999</v>
      </c>
      <c r="AG29" s="859"/>
      <c r="AH29" s="859">
        <f t="shared" si="34"/>
        <v>1052.3519999999999</v>
      </c>
      <c r="AI29" s="859"/>
      <c r="AJ29" s="859"/>
      <c r="AK29" s="863">
        <f t="shared" si="23"/>
        <v>1.5786666666666667</v>
      </c>
      <c r="AL29" s="863"/>
      <c r="AM29" s="863">
        <f t="shared" si="24"/>
        <v>0.39466666666666667</v>
      </c>
      <c r="AN29" s="863"/>
      <c r="AO29" s="863"/>
      <c r="AP29" s="859">
        <f>AF29*AK29</f>
        <v>1588.1134079999999</v>
      </c>
      <c r="AQ29" s="859"/>
      <c r="AR29" s="859">
        <f>AH29*AM29</f>
        <v>415.32825599999995</v>
      </c>
      <c r="AS29" s="859"/>
      <c r="AT29" s="859"/>
      <c r="AU29" s="861">
        <f t="shared" si="25"/>
        <v>132.50275555555555</v>
      </c>
    </row>
    <row r="30" spans="1:47" ht="15.75" thickBot="1">
      <c r="A30" s="858">
        <v>4</v>
      </c>
      <c r="B30" s="858" t="s">
        <v>1022</v>
      </c>
      <c r="C30" s="858">
        <v>10</v>
      </c>
      <c r="D30" s="859">
        <v>0.4</v>
      </c>
      <c r="E30" s="859">
        <v>0.4</v>
      </c>
      <c r="F30" s="859">
        <v>3</v>
      </c>
      <c r="G30" s="858">
        <v>0.12</v>
      </c>
      <c r="H30" s="859">
        <f t="shared" si="26"/>
        <v>2.88</v>
      </c>
      <c r="I30" s="859">
        <f t="shared" si="27"/>
        <v>4.6079999999999997</v>
      </c>
      <c r="J30" s="859">
        <f t="shared" si="28"/>
        <v>46.08</v>
      </c>
      <c r="K30" s="792"/>
      <c r="L30" s="858">
        <v>16</v>
      </c>
      <c r="M30" s="858"/>
      <c r="N30" s="858">
        <v>8</v>
      </c>
      <c r="O30" s="858"/>
      <c r="P30" s="858"/>
      <c r="Q30" s="858">
        <v>0.1</v>
      </c>
      <c r="R30" s="858">
        <v>0.15</v>
      </c>
      <c r="S30" s="858">
        <v>0.1</v>
      </c>
      <c r="T30" s="858">
        <v>8</v>
      </c>
      <c r="U30" s="858"/>
      <c r="V30" s="861">
        <f t="shared" si="20"/>
        <v>8.1999999999999993</v>
      </c>
      <c r="W30" s="861">
        <f t="shared" si="21"/>
        <v>10.6</v>
      </c>
      <c r="X30" s="861">
        <f t="shared" si="22"/>
        <v>8.1999999999999993</v>
      </c>
      <c r="Y30" s="861"/>
      <c r="Z30" s="861"/>
      <c r="AA30" s="859">
        <f t="shared" si="29"/>
        <v>3.992</v>
      </c>
      <c r="AB30" s="859"/>
      <c r="AC30" s="858">
        <f t="shared" si="30"/>
        <v>1.4560000000000002</v>
      </c>
      <c r="AD30" s="862">
        <f t="shared" si="31"/>
        <v>0.34</v>
      </c>
      <c r="AE30" s="862">
        <f t="shared" si="32"/>
        <v>0.34</v>
      </c>
      <c r="AF30" s="859">
        <f t="shared" si="33"/>
        <v>319.36</v>
      </c>
      <c r="AG30" s="859"/>
      <c r="AH30" s="859">
        <f t="shared" si="34"/>
        <v>393.12</v>
      </c>
      <c r="AI30" s="859"/>
      <c r="AJ30" s="859"/>
      <c r="AK30" s="863">
        <f t="shared" si="23"/>
        <v>1.5786666666666667</v>
      </c>
      <c r="AL30" s="863"/>
      <c r="AM30" s="863">
        <f t="shared" si="24"/>
        <v>0.39466666666666667</v>
      </c>
      <c r="AN30" s="863"/>
      <c r="AO30" s="863"/>
      <c r="AP30" s="859">
        <f>AF30*AK30</f>
        <v>504.16298666666671</v>
      </c>
      <c r="AQ30" s="859"/>
      <c r="AR30" s="859">
        <f>AH30*AM30</f>
        <v>155.15136000000001</v>
      </c>
      <c r="AS30" s="859"/>
      <c r="AT30" s="859"/>
      <c r="AU30" s="861">
        <f t="shared" si="25"/>
        <v>143.08037037037042</v>
      </c>
    </row>
    <row r="31" spans="1:47" ht="15.75" thickBot="1">
      <c r="A31" s="858">
        <v>5</v>
      </c>
      <c r="B31" s="858" t="s">
        <v>1023</v>
      </c>
      <c r="C31" s="858">
        <v>4</v>
      </c>
      <c r="D31" s="859">
        <v>1</v>
      </c>
      <c r="E31" s="859">
        <v>1</v>
      </c>
      <c r="F31" s="859">
        <v>3</v>
      </c>
      <c r="G31" s="858">
        <v>0.12</v>
      </c>
      <c r="H31" s="859">
        <f t="shared" si="26"/>
        <v>2.88</v>
      </c>
      <c r="I31" s="859">
        <f t="shared" si="27"/>
        <v>11.52</v>
      </c>
      <c r="J31" s="859">
        <f t="shared" si="28"/>
        <v>46.08</v>
      </c>
      <c r="K31" s="792"/>
      <c r="L31" s="858">
        <v>25</v>
      </c>
      <c r="M31" s="858"/>
      <c r="N31" s="858">
        <v>13</v>
      </c>
      <c r="O31" s="858"/>
      <c r="P31" s="858"/>
      <c r="Q31" s="858">
        <v>0.1</v>
      </c>
      <c r="R31" s="858">
        <v>0.15</v>
      </c>
      <c r="S31" s="858">
        <v>0.1</v>
      </c>
      <c r="T31" s="858">
        <v>24</v>
      </c>
      <c r="U31" s="858"/>
      <c r="V31" s="861">
        <f t="shared" si="20"/>
        <v>8.1999999999999993</v>
      </c>
      <c r="W31" s="861">
        <f t="shared" si="21"/>
        <v>10.6</v>
      </c>
      <c r="X31" s="861">
        <f t="shared" si="22"/>
        <v>8.1999999999999993</v>
      </c>
      <c r="Y31" s="861"/>
      <c r="Z31" s="861"/>
      <c r="AA31" s="859">
        <f t="shared" si="29"/>
        <v>4.55</v>
      </c>
      <c r="AB31" s="859"/>
      <c r="AC31" s="858">
        <f t="shared" si="30"/>
        <v>3.9159999999999995</v>
      </c>
      <c r="AD31" s="862">
        <f t="shared" si="31"/>
        <v>0.94</v>
      </c>
      <c r="AE31" s="862">
        <f t="shared" si="32"/>
        <v>0.94</v>
      </c>
      <c r="AF31" s="859">
        <f t="shared" si="33"/>
        <v>436.79999999999995</v>
      </c>
      <c r="AG31" s="859"/>
      <c r="AH31" s="859">
        <f t="shared" si="34"/>
        <v>422.92799999999988</v>
      </c>
      <c r="AI31" s="859"/>
      <c r="AJ31" s="859"/>
      <c r="AK31" s="863">
        <f t="shared" si="23"/>
        <v>3.8541666666666665</v>
      </c>
      <c r="AL31" s="863"/>
      <c r="AM31" s="863">
        <f t="shared" si="24"/>
        <v>1.0421666666666667</v>
      </c>
      <c r="AN31" s="863"/>
      <c r="AO31" s="863"/>
      <c r="AP31" s="859">
        <f t="shared" ref="AP31:AP35" si="37">AF31*AK31</f>
        <v>1683.4999999999998</v>
      </c>
      <c r="AQ31" s="859"/>
      <c r="AR31" s="859">
        <f t="shared" ref="AR31:AR35" si="38">AH31*AM31</f>
        <v>440.76146399999988</v>
      </c>
      <c r="AS31" s="859"/>
      <c r="AT31" s="859"/>
      <c r="AU31" s="861">
        <f t="shared" si="25"/>
        <v>184.39769652777775</v>
      </c>
    </row>
    <row r="32" spans="1:47" ht="15.75" thickBot="1">
      <c r="A32" s="858">
        <v>6</v>
      </c>
      <c r="B32" s="858" t="s">
        <v>1024</v>
      </c>
      <c r="C32" s="858">
        <v>2</v>
      </c>
      <c r="D32" s="859">
        <v>1.4</v>
      </c>
      <c r="E32" s="859">
        <v>1.4</v>
      </c>
      <c r="F32" s="859">
        <v>3</v>
      </c>
      <c r="G32" s="858">
        <v>0.12</v>
      </c>
      <c r="H32" s="859">
        <f t="shared" si="26"/>
        <v>2.88</v>
      </c>
      <c r="I32" s="859">
        <f t="shared" si="27"/>
        <v>11.2896</v>
      </c>
      <c r="J32" s="859">
        <f t="shared" si="28"/>
        <v>32.256</v>
      </c>
      <c r="K32" s="792"/>
      <c r="L32" s="858">
        <v>25</v>
      </c>
      <c r="M32" s="858"/>
      <c r="N32" s="858">
        <v>13</v>
      </c>
      <c r="O32" s="858"/>
      <c r="P32" s="858"/>
      <c r="Q32" s="858">
        <v>0.1</v>
      </c>
      <c r="R32" s="858">
        <v>0.15</v>
      </c>
      <c r="S32" s="858">
        <v>0.1</v>
      </c>
      <c r="T32" s="858">
        <v>40</v>
      </c>
      <c r="U32" s="858"/>
      <c r="V32" s="861">
        <f t="shared" si="20"/>
        <v>8.1999999999999993</v>
      </c>
      <c r="W32" s="861">
        <f t="shared" si="21"/>
        <v>10.6</v>
      </c>
      <c r="X32" s="861">
        <f t="shared" si="22"/>
        <v>8.1999999999999993</v>
      </c>
      <c r="Y32" s="861"/>
      <c r="Z32" s="861"/>
      <c r="AA32" s="859">
        <f t="shared" si="29"/>
        <v>4.55</v>
      </c>
      <c r="AB32" s="859"/>
      <c r="AC32" s="858">
        <f t="shared" si="30"/>
        <v>5.5159999999999991</v>
      </c>
      <c r="AD32" s="862">
        <f t="shared" si="31"/>
        <v>1.3399999999999999</v>
      </c>
      <c r="AE32" s="862">
        <f t="shared" si="32"/>
        <v>1.3399999999999999</v>
      </c>
      <c r="AF32" s="859">
        <f t="shared" si="33"/>
        <v>364</v>
      </c>
      <c r="AG32" s="859"/>
      <c r="AH32" s="859">
        <f t="shared" si="34"/>
        <v>297.86399999999992</v>
      </c>
      <c r="AI32" s="859"/>
      <c r="AJ32" s="859"/>
      <c r="AK32" s="863">
        <f t="shared" si="23"/>
        <v>3.8541666666666665</v>
      </c>
      <c r="AL32" s="863"/>
      <c r="AM32" s="863">
        <f t="shared" si="24"/>
        <v>1.0421666666666667</v>
      </c>
      <c r="AN32" s="863"/>
      <c r="AO32" s="863"/>
      <c r="AP32" s="859">
        <f t="shared" si="37"/>
        <v>1402.9166666666665</v>
      </c>
      <c r="AQ32" s="859"/>
      <c r="AR32" s="859">
        <f t="shared" si="38"/>
        <v>310.42393199999992</v>
      </c>
      <c r="AS32" s="859"/>
      <c r="AT32" s="859"/>
      <c r="AU32" s="861">
        <f t="shared" si="25"/>
        <v>151.76273726851849</v>
      </c>
    </row>
    <row r="33" spans="1:47" ht="15.75" thickBot="1">
      <c r="A33" s="858">
        <v>7</v>
      </c>
      <c r="B33" s="858" t="s">
        <v>1026</v>
      </c>
      <c r="C33" s="858">
        <v>8</v>
      </c>
      <c r="D33" s="859">
        <v>0.8</v>
      </c>
      <c r="E33" s="859">
        <v>0.8</v>
      </c>
      <c r="F33" s="859">
        <v>3</v>
      </c>
      <c r="G33" s="858">
        <v>0.12</v>
      </c>
      <c r="H33" s="859">
        <f t="shared" si="26"/>
        <v>2.88</v>
      </c>
      <c r="I33" s="859">
        <f t="shared" si="27"/>
        <v>14.7456</v>
      </c>
      <c r="J33" s="859">
        <f t="shared" si="28"/>
        <v>73.727999999999994</v>
      </c>
      <c r="K33" s="792"/>
      <c r="L33" s="858">
        <v>25</v>
      </c>
      <c r="M33" s="858"/>
      <c r="N33" s="858">
        <v>8</v>
      </c>
      <c r="O33" s="858"/>
      <c r="P33" s="858"/>
      <c r="Q33" s="858">
        <v>0.1</v>
      </c>
      <c r="R33" s="858">
        <v>0.15</v>
      </c>
      <c r="S33" s="858">
        <v>0.1</v>
      </c>
      <c r="T33" s="858">
        <v>16</v>
      </c>
      <c r="U33" s="858"/>
      <c r="V33" s="861">
        <f t="shared" si="20"/>
        <v>8.1999999999999993</v>
      </c>
      <c r="W33" s="861">
        <f t="shared" si="21"/>
        <v>10.6</v>
      </c>
      <c r="X33" s="861">
        <f t="shared" si="22"/>
        <v>8.1999999999999993</v>
      </c>
      <c r="Y33" s="861"/>
      <c r="Z33" s="861"/>
      <c r="AA33" s="859">
        <f t="shared" si="29"/>
        <v>4.55</v>
      </c>
      <c r="AB33" s="859"/>
      <c r="AC33" s="858">
        <f t="shared" si="30"/>
        <v>3.056</v>
      </c>
      <c r="AD33" s="862">
        <f t="shared" si="31"/>
        <v>0.74</v>
      </c>
      <c r="AE33" s="862">
        <f t="shared" si="32"/>
        <v>0.74</v>
      </c>
      <c r="AF33" s="859">
        <f t="shared" si="33"/>
        <v>582.4</v>
      </c>
      <c r="AG33" s="859"/>
      <c r="AH33" s="859">
        <f t="shared" si="34"/>
        <v>660.09599999999989</v>
      </c>
      <c r="AI33" s="859"/>
      <c r="AJ33" s="859"/>
      <c r="AK33" s="863">
        <f t="shared" si="23"/>
        <v>3.8541666666666665</v>
      </c>
      <c r="AL33" s="863"/>
      <c r="AM33" s="863">
        <f t="shared" si="24"/>
        <v>0.39466666666666667</v>
      </c>
      <c r="AN33" s="863"/>
      <c r="AO33" s="863"/>
      <c r="AP33" s="859">
        <f t="shared" si="37"/>
        <v>2244.6666666666665</v>
      </c>
      <c r="AQ33" s="859"/>
      <c r="AR33" s="859">
        <f t="shared" si="38"/>
        <v>260.51788799999997</v>
      </c>
      <c r="AS33" s="859"/>
      <c r="AT33" s="859"/>
      <c r="AU33" s="861">
        <f t="shared" si="25"/>
        <v>169.89370081018518</v>
      </c>
    </row>
    <row r="34" spans="1:47" ht="15.75" thickBot="1">
      <c r="A34" s="858">
        <v>8</v>
      </c>
      <c r="B34" s="858" t="s">
        <v>1027</v>
      </c>
      <c r="C34" s="858">
        <v>2</v>
      </c>
      <c r="D34" s="859">
        <v>0.6</v>
      </c>
      <c r="E34" s="859">
        <v>0.6</v>
      </c>
      <c r="F34" s="859">
        <v>3</v>
      </c>
      <c r="G34" s="858">
        <v>0.12</v>
      </c>
      <c r="H34" s="859">
        <f t="shared" si="26"/>
        <v>2.88</v>
      </c>
      <c r="I34" s="859">
        <f t="shared" si="27"/>
        <v>2.0735999999999999</v>
      </c>
      <c r="J34" s="859">
        <f t="shared" si="28"/>
        <v>13.824</v>
      </c>
      <c r="K34" s="792"/>
      <c r="L34" s="858">
        <v>19</v>
      </c>
      <c r="M34" s="858"/>
      <c r="N34" s="858">
        <v>8</v>
      </c>
      <c r="O34" s="858"/>
      <c r="P34" s="858"/>
      <c r="Q34" s="858">
        <v>0.1</v>
      </c>
      <c r="R34" s="858">
        <v>0.15</v>
      </c>
      <c r="S34" s="858">
        <v>0.1</v>
      </c>
      <c r="T34" s="858">
        <v>16</v>
      </c>
      <c r="U34" s="858"/>
      <c r="V34" s="861">
        <f t="shared" si="20"/>
        <v>8.1999999999999993</v>
      </c>
      <c r="W34" s="861">
        <f t="shared" si="21"/>
        <v>10.6</v>
      </c>
      <c r="X34" s="861">
        <f t="shared" si="22"/>
        <v>8.1999999999999993</v>
      </c>
      <c r="Y34" s="861"/>
      <c r="Z34" s="861"/>
      <c r="AA34" s="859">
        <f t="shared" si="29"/>
        <v>4.1779999999999999</v>
      </c>
      <c r="AB34" s="859"/>
      <c r="AC34" s="858">
        <f t="shared" si="30"/>
        <v>2.2560000000000002</v>
      </c>
      <c r="AD34" s="862">
        <f t="shared" si="31"/>
        <v>0.54</v>
      </c>
      <c r="AE34" s="862">
        <f t="shared" si="32"/>
        <v>0.54</v>
      </c>
      <c r="AF34" s="859">
        <f t="shared" si="33"/>
        <v>133.696</v>
      </c>
      <c r="AG34" s="859"/>
      <c r="AH34" s="859">
        <f t="shared" si="34"/>
        <v>121.824</v>
      </c>
      <c r="AI34" s="859"/>
      <c r="AJ34" s="859"/>
      <c r="AK34" s="863">
        <f t="shared" si="23"/>
        <v>2.2261666666666664</v>
      </c>
      <c r="AL34" s="863"/>
      <c r="AM34" s="863">
        <f t="shared" si="24"/>
        <v>0.39466666666666667</v>
      </c>
      <c r="AN34" s="863"/>
      <c r="AO34" s="863"/>
      <c r="AP34" s="859">
        <f t="shared" si="37"/>
        <v>297.62957866666665</v>
      </c>
      <c r="AQ34" s="859"/>
      <c r="AR34" s="859">
        <f t="shared" si="38"/>
        <v>48.079872000000002</v>
      </c>
      <c r="AS34" s="859"/>
      <c r="AT34" s="859"/>
      <c r="AU34" s="861">
        <f t="shared" si="25"/>
        <v>166.71944958847737</v>
      </c>
    </row>
    <row r="35" spans="1:47" ht="15.75" thickBot="1">
      <c r="A35" s="858">
        <v>9</v>
      </c>
      <c r="B35" s="858" t="s">
        <v>1028</v>
      </c>
      <c r="C35" s="858">
        <v>15</v>
      </c>
      <c r="D35" s="859">
        <v>0.6</v>
      </c>
      <c r="E35" s="859">
        <v>0.6</v>
      </c>
      <c r="F35" s="859">
        <v>3</v>
      </c>
      <c r="G35" s="858">
        <v>0.12</v>
      </c>
      <c r="H35" s="859">
        <f t="shared" si="26"/>
        <v>2.88</v>
      </c>
      <c r="I35" s="859">
        <f t="shared" si="27"/>
        <v>15.552</v>
      </c>
      <c r="J35" s="859">
        <f t="shared" si="28"/>
        <v>103.67999999999999</v>
      </c>
      <c r="K35" s="792"/>
      <c r="L35" s="858">
        <v>19</v>
      </c>
      <c r="M35" s="858"/>
      <c r="N35" s="858">
        <v>8</v>
      </c>
      <c r="O35" s="858"/>
      <c r="P35" s="858"/>
      <c r="Q35" s="858">
        <v>0.1</v>
      </c>
      <c r="R35" s="858">
        <v>0.15</v>
      </c>
      <c r="S35" s="858">
        <v>0.1</v>
      </c>
      <c r="T35" s="858">
        <v>20</v>
      </c>
      <c r="U35" s="858"/>
      <c r="V35" s="861">
        <f t="shared" si="20"/>
        <v>8.1999999999999993</v>
      </c>
      <c r="W35" s="861">
        <f t="shared" si="21"/>
        <v>10.6</v>
      </c>
      <c r="X35" s="861">
        <f t="shared" si="22"/>
        <v>8.1999999999999993</v>
      </c>
      <c r="Y35" s="861"/>
      <c r="Z35" s="861"/>
      <c r="AA35" s="859">
        <f t="shared" si="29"/>
        <v>4.1779999999999999</v>
      </c>
      <c r="AB35" s="859"/>
      <c r="AC35" s="858">
        <f t="shared" si="30"/>
        <v>2.2560000000000002</v>
      </c>
      <c r="AD35" s="862">
        <f t="shared" si="31"/>
        <v>0.54</v>
      </c>
      <c r="AE35" s="862">
        <f t="shared" si="32"/>
        <v>0.54</v>
      </c>
      <c r="AF35" s="859">
        <f t="shared" si="33"/>
        <v>1253.4000000000001</v>
      </c>
      <c r="AG35" s="859"/>
      <c r="AH35" s="859">
        <f t="shared" si="34"/>
        <v>913.68</v>
      </c>
      <c r="AI35" s="859"/>
      <c r="AJ35" s="859"/>
      <c r="AK35" s="863">
        <f t="shared" si="23"/>
        <v>2.2261666666666664</v>
      </c>
      <c r="AL35" s="863"/>
      <c r="AM35" s="863">
        <f t="shared" si="24"/>
        <v>0.39466666666666667</v>
      </c>
      <c r="AN35" s="863"/>
      <c r="AO35" s="863"/>
      <c r="AP35" s="859">
        <f t="shared" si="37"/>
        <v>2790.2772999999997</v>
      </c>
      <c r="AQ35" s="859"/>
      <c r="AR35" s="859">
        <f t="shared" si="38"/>
        <v>360.59904</v>
      </c>
      <c r="AS35" s="859"/>
      <c r="AT35" s="859"/>
      <c r="AU35" s="861">
        <f t="shared" si="25"/>
        <v>202.60264531893003</v>
      </c>
    </row>
    <row r="36" spans="1:47" ht="15.75" thickBot="1">
      <c r="A36" s="858"/>
      <c r="B36" s="858"/>
      <c r="C36" s="858"/>
      <c r="D36" s="859"/>
      <c r="E36" s="859"/>
      <c r="F36" s="859"/>
      <c r="G36" s="858"/>
      <c r="H36" s="859"/>
      <c r="I36" s="859"/>
      <c r="J36" s="859"/>
      <c r="K36" s="792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61"/>
      <c r="W36" s="861"/>
      <c r="X36" s="861"/>
      <c r="Y36" s="861"/>
      <c r="Z36" s="861"/>
      <c r="AA36" s="859"/>
      <c r="AB36" s="859"/>
      <c r="AC36" s="858"/>
      <c r="AD36" s="862"/>
      <c r="AE36" s="862"/>
      <c r="AF36" s="859"/>
      <c r="AG36" s="859"/>
      <c r="AH36" s="859"/>
      <c r="AI36" s="859"/>
      <c r="AJ36" s="859"/>
      <c r="AK36" s="863"/>
      <c r="AL36" s="863"/>
      <c r="AM36" s="863"/>
      <c r="AN36" s="863"/>
      <c r="AO36" s="863"/>
      <c r="AP36" s="859"/>
      <c r="AQ36" s="859"/>
      <c r="AR36" s="859"/>
      <c r="AS36" s="859"/>
      <c r="AT36" s="859"/>
      <c r="AU36" s="861"/>
    </row>
    <row r="37" spans="1:47" ht="15.75" thickBot="1">
      <c r="A37" s="858"/>
      <c r="B37" s="858"/>
      <c r="C37" s="858"/>
      <c r="D37" s="859"/>
      <c r="E37" s="859"/>
      <c r="F37" s="859"/>
      <c r="G37" s="858"/>
      <c r="H37" s="859"/>
      <c r="I37" s="859"/>
      <c r="J37" s="859"/>
      <c r="K37" s="792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61"/>
      <c r="W37" s="861"/>
      <c r="X37" s="861"/>
      <c r="Y37" s="861"/>
      <c r="Z37" s="861"/>
      <c r="AA37" s="859"/>
      <c r="AB37" s="859"/>
      <c r="AC37" s="858"/>
      <c r="AD37" s="862"/>
      <c r="AE37" s="862"/>
      <c r="AF37" s="859"/>
      <c r="AG37" s="859"/>
      <c r="AH37" s="859"/>
      <c r="AI37" s="859"/>
      <c r="AJ37" s="859"/>
      <c r="AK37" s="863"/>
      <c r="AL37" s="863"/>
      <c r="AM37" s="863"/>
      <c r="AN37" s="863"/>
      <c r="AO37" s="863"/>
      <c r="AP37" s="859"/>
      <c r="AQ37" s="859"/>
      <c r="AR37" s="859"/>
      <c r="AS37" s="859"/>
      <c r="AT37" s="859"/>
      <c r="AU37" s="861"/>
    </row>
    <row r="38" spans="1:47" ht="15.75" thickBot="1">
      <c r="A38" s="875"/>
      <c r="B38" s="876"/>
      <c r="C38" s="876"/>
      <c r="D38" s="877"/>
      <c r="E38" s="877"/>
      <c r="F38" s="877"/>
      <c r="G38" s="876"/>
      <c r="H38" s="877"/>
      <c r="I38" s="877"/>
      <c r="J38" s="878"/>
      <c r="K38" s="792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61"/>
      <c r="W38" s="861"/>
      <c r="X38" s="861"/>
      <c r="Y38" s="861"/>
      <c r="Z38" s="861"/>
      <c r="AA38" s="859"/>
      <c r="AB38" s="859"/>
      <c r="AC38" s="858"/>
      <c r="AD38" s="862"/>
      <c r="AE38" s="862"/>
      <c r="AF38" s="859"/>
      <c r="AG38" s="859"/>
      <c r="AH38" s="859"/>
      <c r="AI38" s="859"/>
      <c r="AJ38" s="859"/>
      <c r="AK38" s="863"/>
      <c r="AL38" s="863"/>
      <c r="AM38" s="863"/>
      <c r="AN38" s="863"/>
      <c r="AO38" s="863"/>
      <c r="AP38" s="859"/>
      <c r="AQ38" s="859"/>
      <c r="AR38" s="859"/>
      <c r="AS38" s="859"/>
      <c r="AT38" s="859"/>
      <c r="AU38" s="861"/>
    </row>
    <row r="39" spans="1:47">
      <c r="A39" s="796" t="s">
        <v>66</v>
      </c>
      <c r="B39" s="797" t="s">
        <v>983</v>
      </c>
      <c r="C39" s="797"/>
      <c r="D39" s="798" t="s">
        <v>984</v>
      </c>
      <c r="E39" s="798"/>
      <c r="F39" s="798"/>
      <c r="G39" s="799" t="s">
        <v>985</v>
      </c>
      <c r="H39" s="799" t="s">
        <v>986</v>
      </c>
      <c r="I39" s="798" t="s">
        <v>392</v>
      </c>
      <c r="J39" s="800" t="s">
        <v>377</v>
      </c>
      <c r="K39" s="792"/>
      <c r="L39" s="801" t="s">
        <v>987</v>
      </c>
      <c r="M39" s="802"/>
      <c r="N39" s="803" t="s">
        <v>988</v>
      </c>
      <c r="O39" s="803"/>
      <c r="P39" s="803"/>
      <c r="Q39" s="803" t="s">
        <v>989</v>
      </c>
      <c r="R39" s="803"/>
      <c r="S39" s="803"/>
      <c r="T39" s="804"/>
      <c r="U39" s="805"/>
      <c r="V39" s="806" t="s">
        <v>990</v>
      </c>
      <c r="W39" s="806"/>
      <c r="X39" s="806"/>
      <c r="Y39" s="806"/>
      <c r="Z39" s="806"/>
      <c r="AA39" s="807" t="s">
        <v>991</v>
      </c>
      <c r="AB39" s="808"/>
      <c r="AC39" s="809" t="s">
        <v>1030</v>
      </c>
      <c r="AD39" s="809"/>
      <c r="AE39" s="809"/>
      <c r="AF39" s="810" t="s">
        <v>993</v>
      </c>
      <c r="AG39" s="811"/>
      <c r="AH39" s="798" t="s">
        <v>994</v>
      </c>
      <c r="AI39" s="798"/>
      <c r="AJ39" s="798"/>
      <c r="AK39" s="812" t="s">
        <v>995</v>
      </c>
      <c r="AL39" s="813"/>
      <c r="AM39" s="814" t="s">
        <v>996</v>
      </c>
      <c r="AN39" s="814"/>
      <c r="AO39" s="814"/>
      <c r="AP39" s="798" t="s">
        <v>997</v>
      </c>
      <c r="AQ39" s="798"/>
      <c r="AR39" s="798"/>
      <c r="AS39" s="798"/>
      <c r="AT39" s="798"/>
      <c r="AU39" s="815" t="s">
        <v>998</v>
      </c>
    </row>
    <row r="40" spans="1:47" ht="15.75" thickBot="1">
      <c r="A40" s="816"/>
      <c r="B40" s="817" t="s">
        <v>372</v>
      </c>
      <c r="C40" s="817" t="s">
        <v>372</v>
      </c>
      <c r="D40" s="818" t="s">
        <v>999</v>
      </c>
      <c r="E40" s="818" t="s">
        <v>1000</v>
      </c>
      <c r="F40" s="818" t="s">
        <v>1001</v>
      </c>
      <c r="G40" s="819" t="s">
        <v>1002</v>
      </c>
      <c r="H40" s="819" t="s">
        <v>1003</v>
      </c>
      <c r="I40" s="818"/>
      <c r="J40" s="820"/>
      <c r="K40" s="792"/>
      <c r="L40" s="821" t="s">
        <v>1006</v>
      </c>
      <c r="M40" s="822"/>
      <c r="N40" s="819" t="s">
        <v>1004</v>
      </c>
      <c r="O40" s="819" t="s">
        <v>1005</v>
      </c>
      <c r="P40" s="819"/>
      <c r="Q40" s="819" t="s">
        <v>1001</v>
      </c>
      <c r="R40" s="819" t="s">
        <v>1000</v>
      </c>
      <c r="S40" s="819" t="s">
        <v>1001</v>
      </c>
      <c r="T40" s="823" t="s">
        <v>1006</v>
      </c>
      <c r="U40" s="824"/>
      <c r="V40" s="825" t="s">
        <v>1007</v>
      </c>
      <c r="W40" s="825"/>
      <c r="X40" s="825"/>
      <c r="Y40" s="825" t="s">
        <v>1005</v>
      </c>
      <c r="Z40" s="825"/>
      <c r="AA40" s="826" t="s">
        <v>1008</v>
      </c>
      <c r="AB40" s="827"/>
      <c r="AC40" s="819" t="s">
        <v>1004</v>
      </c>
      <c r="AD40" s="828" t="s">
        <v>1005</v>
      </c>
      <c r="AE40" s="828"/>
      <c r="AF40" s="829" t="s">
        <v>1006</v>
      </c>
      <c r="AG40" s="830"/>
      <c r="AH40" s="818" t="s">
        <v>1004</v>
      </c>
      <c r="AI40" s="818" t="s">
        <v>1005</v>
      </c>
      <c r="AJ40" s="818"/>
      <c r="AK40" s="831" t="s">
        <v>1009</v>
      </c>
      <c r="AL40" s="832"/>
      <c r="AM40" s="833"/>
      <c r="AN40" s="833"/>
      <c r="AO40" s="833"/>
      <c r="AP40" s="818" t="s">
        <v>1006</v>
      </c>
      <c r="AQ40" s="818"/>
      <c r="AR40" s="818" t="s">
        <v>1010</v>
      </c>
      <c r="AS40" s="818"/>
      <c r="AT40" s="818"/>
      <c r="AU40" s="834" t="s">
        <v>1011</v>
      </c>
    </row>
    <row r="41" spans="1:47" ht="15.75" thickTop="1">
      <c r="A41" s="816"/>
      <c r="B41" s="817"/>
      <c r="C41" s="817"/>
      <c r="D41" s="818"/>
      <c r="E41" s="818"/>
      <c r="F41" s="818"/>
      <c r="G41" s="819"/>
      <c r="H41" s="819"/>
      <c r="I41" s="818"/>
      <c r="J41" s="820"/>
      <c r="K41" s="792"/>
      <c r="L41" s="835"/>
      <c r="M41" s="836"/>
      <c r="N41" s="819"/>
      <c r="O41" s="837" t="s">
        <v>494</v>
      </c>
      <c r="P41" s="837" t="s">
        <v>1012</v>
      </c>
      <c r="Q41" s="819"/>
      <c r="R41" s="819"/>
      <c r="S41" s="819"/>
      <c r="T41" s="838"/>
      <c r="U41" s="839"/>
      <c r="V41" s="840" t="s">
        <v>1001</v>
      </c>
      <c r="W41" s="840" t="s">
        <v>1000</v>
      </c>
      <c r="X41" s="840" t="s">
        <v>1001</v>
      </c>
      <c r="Y41" s="840" t="s">
        <v>494</v>
      </c>
      <c r="Z41" s="840" t="s">
        <v>1012</v>
      </c>
      <c r="AA41" s="841" t="s">
        <v>1013</v>
      </c>
      <c r="AB41" s="842"/>
      <c r="AC41" s="819"/>
      <c r="AD41" s="843" t="s">
        <v>494</v>
      </c>
      <c r="AE41" s="843" t="s">
        <v>1012</v>
      </c>
      <c r="AF41" s="844"/>
      <c r="AG41" s="842"/>
      <c r="AH41" s="818"/>
      <c r="AI41" s="845" t="s">
        <v>494</v>
      </c>
      <c r="AJ41" s="845" t="s">
        <v>1012</v>
      </c>
      <c r="AK41" s="846" t="s">
        <v>1013</v>
      </c>
      <c r="AL41" s="847"/>
      <c r="AM41" s="833"/>
      <c r="AN41" s="833"/>
      <c r="AO41" s="833"/>
      <c r="AP41" s="818"/>
      <c r="AQ41" s="818"/>
      <c r="AR41" s="818"/>
      <c r="AS41" s="818"/>
      <c r="AT41" s="818"/>
      <c r="AU41" s="834"/>
    </row>
    <row r="42" spans="1:47" ht="15.75" thickBot="1">
      <c r="A42" s="848"/>
      <c r="B42" s="817"/>
      <c r="C42" s="817"/>
      <c r="D42" s="849" t="s">
        <v>151</v>
      </c>
      <c r="E42" s="849"/>
      <c r="F42" s="849"/>
      <c r="G42" s="849"/>
      <c r="H42" s="849"/>
      <c r="I42" s="850" t="s">
        <v>1014</v>
      </c>
      <c r="J42" s="851" t="s">
        <v>1015</v>
      </c>
      <c r="K42" s="792"/>
      <c r="L42" s="848" t="s">
        <v>1016</v>
      </c>
      <c r="M42" s="852"/>
      <c r="N42" s="852" t="s">
        <v>1016</v>
      </c>
      <c r="O42" s="852"/>
      <c r="P42" s="852"/>
      <c r="Q42" s="852" t="s">
        <v>151</v>
      </c>
      <c r="R42" s="852"/>
      <c r="S42" s="852"/>
      <c r="T42" s="823" t="s">
        <v>34</v>
      </c>
      <c r="U42" s="853"/>
      <c r="V42" s="854" t="s">
        <v>34</v>
      </c>
      <c r="W42" s="854"/>
      <c r="X42" s="854"/>
      <c r="Y42" s="854"/>
      <c r="Z42" s="854"/>
      <c r="AA42" s="849" t="s">
        <v>151</v>
      </c>
      <c r="AB42" s="849"/>
      <c r="AC42" s="852" t="s">
        <v>151</v>
      </c>
      <c r="AD42" s="852"/>
      <c r="AE42" s="852"/>
      <c r="AF42" s="849" t="s">
        <v>151</v>
      </c>
      <c r="AG42" s="849"/>
      <c r="AH42" s="849" t="s">
        <v>151</v>
      </c>
      <c r="AI42" s="849"/>
      <c r="AJ42" s="849"/>
      <c r="AK42" s="855" t="s">
        <v>1017</v>
      </c>
      <c r="AL42" s="855"/>
      <c r="AM42" s="855"/>
      <c r="AN42" s="855"/>
      <c r="AO42" s="855"/>
      <c r="AP42" s="849" t="s">
        <v>7</v>
      </c>
      <c r="AQ42" s="849"/>
      <c r="AR42" s="849"/>
      <c r="AS42" s="849"/>
      <c r="AT42" s="849"/>
      <c r="AU42" s="856"/>
    </row>
    <row r="43" spans="1:47" ht="15.75" thickBot="1">
      <c r="A43" s="857" t="s">
        <v>1032</v>
      </c>
      <c r="B43" s="858"/>
      <c r="C43" s="858"/>
      <c r="D43" s="859"/>
      <c r="E43" s="859"/>
      <c r="F43" s="859"/>
      <c r="G43" s="858"/>
      <c r="H43" s="859"/>
      <c r="I43" s="859"/>
      <c r="J43" s="859"/>
      <c r="K43" s="792"/>
      <c r="L43" s="860" t="str">
        <f>A43</f>
        <v>Kolom Lantai 2</v>
      </c>
      <c r="M43" s="858"/>
      <c r="N43" s="858"/>
      <c r="O43" s="858"/>
      <c r="P43" s="858"/>
      <c r="Q43" s="858"/>
      <c r="R43" s="858"/>
      <c r="S43" s="858"/>
      <c r="T43" s="858"/>
      <c r="U43" s="858"/>
      <c r="V43" s="861"/>
      <c r="W43" s="861"/>
      <c r="X43" s="861"/>
      <c r="Y43" s="861"/>
      <c r="Z43" s="861"/>
      <c r="AA43" s="859"/>
      <c r="AB43" s="859"/>
      <c r="AC43" s="858"/>
      <c r="AD43" s="862"/>
      <c r="AE43" s="862"/>
      <c r="AF43" s="859"/>
      <c r="AG43" s="859"/>
      <c r="AH43" s="859"/>
      <c r="AI43" s="859"/>
      <c r="AJ43" s="859"/>
      <c r="AK43" s="863"/>
      <c r="AL43" s="863"/>
      <c r="AM43" s="863"/>
      <c r="AN43" s="863"/>
      <c r="AO43" s="863"/>
      <c r="AP43" s="859"/>
      <c r="AQ43" s="859"/>
      <c r="AR43" s="859"/>
      <c r="AS43" s="859"/>
      <c r="AT43" s="859"/>
      <c r="AU43" s="861"/>
    </row>
    <row r="44" spans="1:47" ht="15.75" thickBot="1">
      <c r="A44" s="858">
        <v>1</v>
      </c>
      <c r="B44" s="858" t="s">
        <v>1019</v>
      </c>
      <c r="C44" s="858">
        <v>17</v>
      </c>
      <c r="D44" s="859">
        <v>1</v>
      </c>
      <c r="E44" s="859">
        <v>1</v>
      </c>
      <c r="F44" s="859">
        <v>3</v>
      </c>
      <c r="G44" s="858">
        <v>0.12</v>
      </c>
      <c r="H44" s="859">
        <f>F44-G44</f>
        <v>2.88</v>
      </c>
      <c r="I44" s="859">
        <f>H44*E44*D44*C44</f>
        <v>48.96</v>
      </c>
      <c r="J44" s="859">
        <f>(D44+D44+E44+E44)*H44*C44</f>
        <v>195.84</v>
      </c>
      <c r="K44" s="792"/>
      <c r="L44" s="858">
        <v>25</v>
      </c>
      <c r="M44" s="858"/>
      <c r="N44" s="858">
        <v>13</v>
      </c>
      <c r="O44" s="858"/>
      <c r="P44" s="858"/>
      <c r="Q44" s="858">
        <v>0.1</v>
      </c>
      <c r="R44" s="858">
        <v>0.15</v>
      </c>
      <c r="S44" s="858">
        <v>0.1</v>
      </c>
      <c r="T44" s="858">
        <v>24</v>
      </c>
      <c r="U44" s="858"/>
      <c r="V44" s="861">
        <f t="shared" ref="V44:V52" si="39">(H44/4)/Q44+1</f>
        <v>8.1999999999999993</v>
      </c>
      <c r="W44" s="861">
        <f t="shared" ref="W44:W52" si="40">(H44/2)/R44+1</f>
        <v>10.6</v>
      </c>
      <c r="X44" s="861">
        <f t="shared" ref="X44:X52" si="41">(H44/4)/S44+1</f>
        <v>8.1999999999999993</v>
      </c>
      <c r="Y44" s="861"/>
      <c r="Z44" s="861"/>
      <c r="AA44" s="859">
        <f>(H44)+(2*6*L44/1000)+(50*L44/1000)+(0.12)</f>
        <v>4.55</v>
      </c>
      <c r="AB44" s="859"/>
      <c r="AC44" s="858">
        <f>(2*D44)+(2*E44)+(2*6*N44/1000)-(8*0.03)</f>
        <v>3.9159999999999995</v>
      </c>
      <c r="AD44" s="862">
        <f>(E44)+(2*6*O44/1000)-(2*0.03)</f>
        <v>0.94</v>
      </c>
      <c r="AE44" s="862">
        <f>(D44)+(2*6*P44/1000)-(2*0.03)</f>
        <v>0.94</v>
      </c>
      <c r="AF44" s="859">
        <f>AA44*T44*C44</f>
        <v>1856.3999999999999</v>
      </c>
      <c r="AG44" s="859"/>
      <c r="AH44" s="859">
        <f>AC44*(V44+W44+X44)*C44</f>
        <v>1797.4439999999995</v>
      </c>
      <c r="AI44" s="859"/>
      <c r="AJ44" s="859"/>
      <c r="AK44" s="863">
        <f t="shared" ref="AK44:AK52" si="42">L44*L44*0.074/12</f>
        <v>3.8541666666666665</v>
      </c>
      <c r="AL44" s="863"/>
      <c r="AM44" s="863">
        <f t="shared" ref="AM44:AM52" si="43">N44*N44*0.074/12</f>
        <v>1.0421666666666667</v>
      </c>
      <c r="AN44" s="863"/>
      <c r="AO44" s="863"/>
      <c r="AP44" s="859">
        <f>AF44*AK44</f>
        <v>7154.8749999999991</v>
      </c>
      <c r="AQ44" s="859"/>
      <c r="AR44" s="859">
        <f>AH44*AM44</f>
        <v>1873.2362219999995</v>
      </c>
      <c r="AS44" s="859"/>
      <c r="AT44" s="859"/>
      <c r="AU44" s="861">
        <f t="shared" ref="AU44:AU52" si="44">SUM(AP44:AT44)/I44</f>
        <v>184.39769652777775</v>
      </c>
    </row>
    <row r="45" spans="1:47" ht="15.75" thickBot="1">
      <c r="A45" s="858">
        <v>2</v>
      </c>
      <c r="B45" s="858" t="s">
        <v>1020</v>
      </c>
      <c r="C45" s="858">
        <v>4</v>
      </c>
      <c r="D45" s="859">
        <v>1.1000000000000001</v>
      </c>
      <c r="E45" s="859">
        <v>1.1000000000000001</v>
      </c>
      <c r="F45" s="859">
        <v>3</v>
      </c>
      <c r="G45" s="858">
        <v>0.12</v>
      </c>
      <c r="H45" s="859">
        <f t="shared" ref="H45:H52" si="45">F45-G45</f>
        <v>2.88</v>
      </c>
      <c r="I45" s="859">
        <f t="shared" ref="I45:I52" si="46">H45*E45*D45*C45</f>
        <v>13.939200000000001</v>
      </c>
      <c r="J45" s="859">
        <f t="shared" ref="J45:J52" si="47">(D45+D45+E45+E45)*H45*C45</f>
        <v>50.688000000000002</v>
      </c>
      <c r="K45" s="792"/>
      <c r="L45" s="858">
        <v>25</v>
      </c>
      <c r="M45" s="858"/>
      <c r="N45" s="858">
        <v>13</v>
      </c>
      <c r="O45" s="858"/>
      <c r="P45" s="858"/>
      <c r="Q45" s="858">
        <v>0.1</v>
      </c>
      <c r="R45" s="858">
        <v>0.15</v>
      </c>
      <c r="S45" s="858">
        <v>0.1</v>
      </c>
      <c r="T45" s="858">
        <v>24</v>
      </c>
      <c r="U45" s="858"/>
      <c r="V45" s="861">
        <f t="shared" si="39"/>
        <v>8.1999999999999993</v>
      </c>
      <c r="W45" s="861">
        <f t="shared" si="40"/>
        <v>10.6</v>
      </c>
      <c r="X45" s="861">
        <f t="shared" si="41"/>
        <v>8.1999999999999993</v>
      </c>
      <c r="Y45" s="861"/>
      <c r="Z45" s="861"/>
      <c r="AA45" s="859">
        <f t="shared" ref="AA45:AA52" si="48">(H45)+(2*6*L45/1000)+(50*L45/1000)+(0.12)</f>
        <v>4.55</v>
      </c>
      <c r="AB45" s="859"/>
      <c r="AC45" s="858">
        <f t="shared" ref="AC45:AC52" si="49">(2*D45)+(2*E45)+(2*6*N45/1000)-(8*0.03)</f>
        <v>4.3159999999999998</v>
      </c>
      <c r="AD45" s="862">
        <f t="shared" ref="AD45:AD52" si="50">(E45)+(2*6*O45/1000)-(2*0.03)</f>
        <v>1.04</v>
      </c>
      <c r="AE45" s="862">
        <f t="shared" ref="AE45:AE52" si="51">(D45)+(2*6*P45/1000)-(2*0.03)</f>
        <v>1.04</v>
      </c>
      <c r="AF45" s="859">
        <f t="shared" ref="AF45:AF52" si="52">AA45*T45*C45</f>
        <v>436.79999999999995</v>
      </c>
      <c r="AG45" s="859"/>
      <c r="AH45" s="859">
        <f t="shared" ref="AH45:AH52" si="53">AC45*(V45+W45+X45)*C45</f>
        <v>466.12799999999993</v>
      </c>
      <c r="AI45" s="859"/>
      <c r="AJ45" s="859"/>
      <c r="AK45" s="863">
        <f t="shared" si="42"/>
        <v>3.8541666666666665</v>
      </c>
      <c r="AL45" s="863"/>
      <c r="AM45" s="863">
        <f t="shared" si="43"/>
        <v>1.0421666666666667</v>
      </c>
      <c r="AN45" s="863"/>
      <c r="AO45" s="863"/>
      <c r="AP45" s="859">
        <f t="shared" ref="AP45" si="54">AF45*AK45</f>
        <v>1683.4999999999998</v>
      </c>
      <c r="AQ45" s="859"/>
      <c r="AR45" s="859">
        <f t="shared" ref="AR45" si="55">AH45*AM45</f>
        <v>485.78306399999991</v>
      </c>
      <c r="AS45" s="859"/>
      <c r="AT45" s="859"/>
      <c r="AU45" s="861">
        <f t="shared" si="44"/>
        <v>155.62464589072539</v>
      </c>
    </row>
    <row r="46" spans="1:47" ht="15.75" thickBot="1">
      <c r="A46" s="858">
        <v>3</v>
      </c>
      <c r="B46" s="858" t="s">
        <v>1021</v>
      </c>
      <c r="C46" s="858">
        <v>21</v>
      </c>
      <c r="D46" s="859">
        <v>0.5</v>
      </c>
      <c r="E46" s="859">
        <v>0.5</v>
      </c>
      <c r="F46" s="859">
        <v>3</v>
      </c>
      <c r="G46" s="858">
        <v>0.12</v>
      </c>
      <c r="H46" s="859">
        <f t="shared" si="45"/>
        <v>2.88</v>
      </c>
      <c r="I46" s="859">
        <f t="shared" si="46"/>
        <v>15.12</v>
      </c>
      <c r="J46" s="859">
        <f t="shared" si="47"/>
        <v>120.96</v>
      </c>
      <c r="K46" s="792"/>
      <c r="L46" s="858">
        <v>16</v>
      </c>
      <c r="M46" s="858"/>
      <c r="N46" s="858">
        <v>8</v>
      </c>
      <c r="O46" s="858"/>
      <c r="P46" s="858"/>
      <c r="Q46" s="858">
        <v>0.1</v>
      </c>
      <c r="R46" s="858">
        <v>0.15</v>
      </c>
      <c r="S46" s="858">
        <v>0.1</v>
      </c>
      <c r="T46" s="858">
        <v>12</v>
      </c>
      <c r="U46" s="858"/>
      <c r="V46" s="861">
        <f t="shared" si="39"/>
        <v>8.1999999999999993</v>
      </c>
      <c r="W46" s="861">
        <f t="shared" si="40"/>
        <v>10.6</v>
      </c>
      <c r="X46" s="861">
        <f t="shared" si="41"/>
        <v>8.1999999999999993</v>
      </c>
      <c r="Y46" s="861"/>
      <c r="Z46" s="861"/>
      <c r="AA46" s="859">
        <f t="shared" si="48"/>
        <v>3.992</v>
      </c>
      <c r="AB46" s="859"/>
      <c r="AC46" s="858">
        <f t="shared" si="49"/>
        <v>1.8560000000000001</v>
      </c>
      <c r="AD46" s="862">
        <f t="shared" si="50"/>
        <v>0.44</v>
      </c>
      <c r="AE46" s="862">
        <f t="shared" si="51"/>
        <v>0.44</v>
      </c>
      <c r="AF46" s="859">
        <f t="shared" si="52"/>
        <v>1005.9839999999999</v>
      </c>
      <c r="AG46" s="859"/>
      <c r="AH46" s="859">
        <f t="shared" si="53"/>
        <v>1052.3519999999999</v>
      </c>
      <c r="AI46" s="859"/>
      <c r="AJ46" s="859"/>
      <c r="AK46" s="863">
        <f t="shared" si="42"/>
        <v>1.5786666666666667</v>
      </c>
      <c r="AL46" s="863"/>
      <c r="AM46" s="863">
        <f t="shared" si="43"/>
        <v>0.39466666666666667</v>
      </c>
      <c r="AN46" s="863"/>
      <c r="AO46" s="863"/>
      <c r="AP46" s="859">
        <f>AF46*AK46</f>
        <v>1588.1134079999999</v>
      </c>
      <c r="AQ46" s="859"/>
      <c r="AR46" s="859">
        <f>AH46*AM46</f>
        <v>415.32825599999995</v>
      </c>
      <c r="AS46" s="859"/>
      <c r="AT46" s="859"/>
      <c r="AU46" s="861">
        <f t="shared" si="44"/>
        <v>132.50275555555555</v>
      </c>
    </row>
    <row r="47" spans="1:47" ht="15.75" thickBot="1">
      <c r="A47" s="858">
        <v>4</v>
      </c>
      <c r="B47" s="858" t="s">
        <v>1022</v>
      </c>
      <c r="C47" s="858">
        <v>10</v>
      </c>
      <c r="D47" s="859">
        <v>0.4</v>
      </c>
      <c r="E47" s="859">
        <v>0.4</v>
      </c>
      <c r="F47" s="859">
        <v>3</v>
      </c>
      <c r="G47" s="858">
        <v>0.12</v>
      </c>
      <c r="H47" s="859">
        <f t="shared" si="45"/>
        <v>2.88</v>
      </c>
      <c r="I47" s="859">
        <f t="shared" si="46"/>
        <v>4.6079999999999997</v>
      </c>
      <c r="J47" s="859">
        <f t="shared" si="47"/>
        <v>46.08</v>
      </c>
      <c r="K47" s="792"/>
      <c r="L47" s="858">
        <v>16</v>
      </c>
      <c r="M47" s="858"/>
      <c r="N47" s="858">
        <v>8</v>
      </c>
      <c r="O47" s="858"/>
      <c r="P47" s="858"/>
      <c r="Q47" s="858">
        <v>0.1</v>
      </c>
      <c r="R47" s="858">
        <v>0.15</v>
      </c>
      <c r="S47" s="858">
        <v>0.1</v>
      </c>
      <c r="T47" s="858">
        <v>8</v>
      </c>
      <c r="U47" s="858"/>
      <c r="V47" s="861">
        <f t="shared" si="39"/>
        <v>8.1999999999999993</v>
      </c>
      <c r="W47" s="861">
        <f t="shared" si="40"/>
        <v>10.6</v>
      </c>
      <c r="X47" s="861">
        <f t="shared" si="41"/>
        <v>8.1999999999999993</v>
      </c>
      <c r="Y47" s="861"/>
      <c r="Z47" s="861"/>
      <c r="AA47" s="859">
        <f t="shared" si="48"/>
        <v>3.992</v>
      </c>
      <c r="AB47" s="859"/>
      <c r="AC47" s="858">
        <f t="shared" si="49"/>
        <v>1.4560000000000002</v>
      </c>
      <c r="AD47" s="862">
        <f t="shared" si="50"/>
        <v>0.34</v>
      </c>
      <c r="AE47" s="862">
        <f t="shared" si="51"/>
        <v>0.34</v>
      </c>
      <c r="AF47" s="859">
        <f t="shared" si="52"/>
        <v>319.36</v>
      </c>
      <c r="AG47" s="859"/>
      <c r="AH47" s="859">
        <f t="shared" si="53"/>
        <v>393.12</v>
      </c>
      <c r="AI47" s="859"/>
      <c r="AJ47" s="859"/>
      <c r="AK47" s="863">
        <f t="shared" si="42"/>
        <v>1.5786666666666667</v>
      </c>
      <c r="AL47" s="863"/>
      <c r="AM47" s="863">
        <f t="shared" si="43"/>
        <v>0.39466666666666667</v>
      </c>
      <c r="AN47" s="863"/>
      <c r="AO47" s="863"/>
      <c r="AP47" s="859">
        <f>AF47*AK47</f>
        <v>504.16298666666671</v>
      </c>
      <c r="AQ47" s="859"/>
      <c r="AR47" s="859">
        <f>AH47*AM47</f>
        <v>155.15136000000001</v>
      </c>
      <c r="AS47" s="859"/>
      <c r="AT47" s="859"/>
      <c r="AU47" s="861">
        <f t="shared" si="44"/>
        <v>143.08037037037042</v>
      </c>
    </row>
    <row r="48" spans="1:47" ht="15.75" thickBot="1">
      <c r="A48" s="858">
        <v>5</v>
      </c>
      <c r="B48" s="858" t="s">
        <v>1023</v>
      </c>
      <c r="C48" s="858">
        <v>4</v>
      </c>
      <c r="D48" s="859">
        <v>1</v>
      </c>
      <c r="E48" s="859">
        <v>1</v>
      </c>
      <c r="F48" s="859">
        <v>3</v>
      </c>
      <c r="G48" s="858">
        <v>0.12</v>
      </c>
      <c r="H48" s="859">
        <f t="shared" si="45"/>
        <v>2.88</v>
      </c>
      <c r="I48" s="859">
        <f t="shared" si="46"/>
        <v>11.52</v>
      </c>
      <c r="J48" s="859">
        <f t="shared" si="47"/>
        <v>46.08</v>
      </c>
      <c r="K48" s="792"/>
      <c r="L48" s="858">
        <v>25</v>
      </c>
      <c r="M48" s="858"/>
      <c r="N48" s="858">
        <v>13</v>
      </c>
      <c r="O48" s="858"/>
      <c r="P48" s="858"/>
      <c r="Q48" s="858">
        <v>0.1</v>
      </c>
      <c r="R48" s="858">
        <v>0.15</v>
      </c>
      <c r="S48" s="858">
        <v>0.1</v>
      </c>
      <c r="T48" s="858">
        <v>24</v>
      </c>
      <c r="U48" s="858"/>
      <c r="V48" s="861">
        <f t="shared" si="39"/>
        <v>8.1999999999999993</v>
      </c>
      <c r="W48" s="861">
        <f t="shared" si="40"/>
        <v>10.6</v>
      </c>
      <c r="X48" s="861">
        <f t="shared" si="41"/>
        <v>8.1999999999999993</v>
      </c>
      <c r="Y48" s="861"/>
      <c r="Z48" s="861"/>
      <c r="AA48" s="859">
        <f t="shared" si="48"/>
        <v>4.55</v>
      </c>
      <c r="AB48" s="859"/>
      <c r="AC48" s="858">
        <f t="shared" si="49"/>
        <v>3.9159999999999995</v>
      </c>
      <c r="AD48" s="862">
        <f t="shared" si="50"/>
        <v>0.94</v>
      </c>
      <c r="AE48" s="862">
        <f t="shared" si="51"/>
        <v>0.94</v>
      </c>
      <c r="AF48" s="859">
        <f t="shared" si="52"/>
        <v>436.79999999999995</v>
      </c>
      <c r="AG48" s="859"/>
      <c r="AH48" s="859">
        <f t="shared" si="53"/>
        <v>422.92799999999988</v>
      </c>
      <c r="AI48" s="859"/>
      <c r="AJ48" s="859"/>
      <c r="AK48" s="863">
        <f t="shared" si="42"/>
        <v>3.8541666666666665</v>
      </c>
      <c r="AL48" s="863"/>
      <c r="AM48" s="863">
        <f t="shared" si="43"/>
        <v>1.0421666666666667</v>
      </c>
      <c r="AN48" s="863"/>
      <c r="AO48" s="863"/>
      <c r="AP48" s="859">
        <f t="shared" ref="AP48:AP52" si="56">AF48*AK48</f>
        <v>1683.4999999999998</v>
      </c>
      <c r="AQ48" s="859"/>
      <c r="AR48" s="859">
        <f t="shared" ref="AR48:AR52" si="57">AH48*AM48</f>
        <v>440.76146399999988</v>
      </c>
      <c r="AS48" s="859"/>
      <c r="AT48" s="859"/>
      <c r="AU48" s="861">
        <f t="shared" si="44"/>
        <v>184.39769652777775</v>
      </c>
    </row>
    <row r="49" spans="1:47" ht="15.75" thickBot="1">
      <c r="A49" s="858">
        <v>6</v>
      </c>
      <c r="B49" s="858" t="s">
        <v>1024</v>
      </c>
      <c r="C49" s="858">
        <v>2</v>
      </c>
      <c r="D49" s="859">
        <v>1.4</v>
      </c>
      <c r="E49" s="859">
        <v>1.4</v>
      </c>
      <c r="F49" s="859">
        <v>3</v>
      </c>
      <c r="G49" s="858">
        <v>0.12</v>
      </c>
      <c r="H49" s="859">
        <f t="shared" si="45"/>
        <v>2.88</v>
      </c>
      <c r="I49" s="859">
        <f t="shared" si="46"/>
        <v>11.2896</v>
      </c>
      <c r="J49" s="859">
        <f t="shared" si="47"/>
        <v>32.256</v>
      </c>
      <c r="K49" s="792"/>
      <c r="L49" s="858">
        <v>25</v>
      </c>
      <c r="M49" s="858"/>
      <c r="N49" s="858">
        <v>13</v>
      </c>
      <c r="O49" s="858"/>
      <c r="P49" s="858"/>
      <c r="Q49" s="858">
        <v>0.1</v>
      </c>
      <c r="R49" s="858">
        <v>0.15</v>
      </c>
      <c r="S49" s="858">
        <v>0.1</v>
      </c>
      <c r="T49" s="858">
        <v>40</v>
      </c>
      <c r="U49" s="858"/>
      <c r="V49" s="861">
        <f t="shared" si="39"/>
        <v>8.1999999999999993</v>
      </c>
      <c r="W49" s="861">
        <f t="shared" si="40"/>
        <v>10.6</v>
      </c>
      <c r="X49" s="861">
        <f t="shared" si="41"/>
        <v>8.1999999999999993</v>
      </c>
      <c r="Y49" s="861"/>
      <c r="Z49" s="861"/>
      <c r="AA49" s="859">
        <f t="shared" si="48"/>
        <v>4.55</v>
      </c>
      <c r="AB49" s="859"/>
      <c r="AC49" s="858">
        <f t="shared" si="49"/>
        <v>5.5159999999999991</v>
      </c>
      <c r="AD49" s="862">
        <f t="shared" si="50"/>
        <v>1.3399999999999999</v>
      </c>
      <c r="AE49" s="862">
        <f t="shared" si="51"/>
        <v>1.3399999999999999</v>
      </c>
      <c r="AF49" s="859">
        <f t="shared" si="52"/>
        <v>364</v>
      </c>
      <c r="AG49" s="859"/>
      <c r="AH49" s="859">
        <f t="shared" si="53"/>
        <v>297.86399999999992</v>
      </c>
      <c r="AI49" s="859"/>
      <c r="AJ49" s="859"/>
      <c r="AK49" s="863">
        <f t="shared" si="42"/>
        <v>3.8541666666666665</v>
      </c>
      <c r="AL49" s="863"/>
      <c r="AM49" s="863">
        <f t="shared" si="43"/>
        <v>1.0421666666666667</v>
      </c>
      <c r="AN49" s="863"/>
      <c r="AO49" s="863"/>
      <c r="AP49" s="859">
        <f t="shared" si="56"/>
        <v>1402.9166666666665</v>
      </c>
      <c r="AQ49" s="859"/>
      <c r="AR49" s="859">
        <f t="shared" si="57"/>
        <v>310.42393199999992</v>
      </c>
      <c r="AS49" s="859"/>
      <c r="AT49" s="859"/>
      <c r="AU49" s="861">
        <f t="shared" si="44"/>
        <v>151.76273726851849</v>
      </c>
    </row>
    <row r="50" spans="1:47" ht="15.75" thickBot="1">
      <c r="A50" s="858">
        <v>7</v>
      </c>
      <c r="B50" s="858" t="s">
        <v>1026</v>
      </c>
      <c r="C50" s="858">
        <v>8</v>
      </c>
      <c r="D50" s="859">
        <v>0.8</v>
      </c>
      <c r="E50" s="859">
        <v>0.8</v>
      </c>
      <c r="F50" s="859">
        <v>3</v>
      </c>
      <c r="G50" s="858">
        <v>0.12</v>
      </c>
      <c r="H50" s="859">
        <f t="shared" si="45"/>
        <v>2.88</v>
      </c>
      <c r="I50" s="859">
        <f t="shared" si="46"/>
        <v>14.7456</v>
      </c>
      <c r="J50" s="859">
        <f t="shared" si="47"/>
        <v>73.727999999999994</v>
      </c>
      <c r="K50" s="792"/>
      <c r="L50" s="858">
        <v>25</v>
      </c>
      <c r="M50" s="858"/>
      <c r="N50" s="858">
        <v>8</v>
      </c>
      <c r="O50" s="858"/>
      <c r="P50" s="858"/>
      <c r="Q50" s="858">
        <v>0.1</v>
      </c>
      <c r="R50" s="858">
        <v>0.15</v>
      </c>
      <c r="S50" s="858">
        <v>0.1</v>
      </c>
      <c r="T50" s="858">
        <v>16</v>
      </c>
      <c r="U50" s="858"/>
      <c r="V50" s="861">
        <f t="shared" si="39"/>
        <v>8.1999999999999993</v>
      </c>
      <c r="W50" s="861">
        <f t="shared" si="40"/>
        <v>10.6</v>
      </c>
      <c r="X50" s="861">
        <f t="shared" si="41"/>
        <v>8.1999999999999993</v>
      </c>
      <c r="Y50" s="861"/>
      <c r="Z50" s="861"/>
      <c r="AA50" s="859">
        <f t="shared" si="48"/>
        <v>4.55</v>
      </c>
      <c r="AB50" s="859"/>
      <c r="AC50" s="858">
        <f t="shared" si="49"/>
        <v>3.056</v>
      </c>
      <c r="AD50" s="862">
        <f t="shared" si="50"/>
        <v>0.74</v>
      </c>
      <c r="AE50" s="862">
        <f t="shared" si="51"/>
        <v>0.74</v>
      </c>
      <c r="AF50" s="859">
        <f t="shared" si="52"/>
        <v>582.4</v>
      </c>
      <c r="AG50" s="859"/>
      <c r="AH50" s="859">
        <f t="shared" si="53"/>
        <v>660.09599999999989</v>
      </c>
      <c r="AI50" s="859"/>
      <c r="AJ50" s="859"/>
      <c r="AK50" s="863">
        <f t="shared" si="42"/>
        <v>3.8541666666666665</v>
      </c>
      <c r="AL50" s="863"/>
      <c r="AM50" s="863">
        <f t="shared" si="43"/>
        <v>0.39466666666666667</v>
      </c>
      <c r="AN50" s="863"/>
      <c r="AO50" s="863"/>
      <c r="AP50" s="859">
        <f t="shared" si="56"/>
        <v>2244.6666666666665</v>
      </c>
      <c r="AQ50" s="859"/>
      <c r="AR50" s="859">
        <f t="shared" si="57"/>
        <v>260.51788799999997</v>
      </c>
      <c r="AS50" s="859"/>
      <c r="AT50" s="859"/>
      <c r="AU50" s="861">
        <f t="shared" si="44"/>
        <v>169.89370081018518</v>
      </c>
    </row>
    <row r="51" spans="1:47" ht="15.75" thickBot="1">
      <c r="A51" s="858">
        <v>8</v>
      </c>
      <c r="B51" s="858" t="s">
        <v>1027</v>
      </c>
      <c r="C51" s="858">
        <v>2</v>
      </c>
      <c r="D51" s="859">
        <v>0.6</v>
      </c>
      <c r="E51" s="859">
        <v>0.6</v>
      </c>
      <c r="F51" s="859">
        <v>3</v>
      </c>
      <c r="G51" s="858">
        <v>0.12</v>
      </c>
      <c r="H51" s="859">
        <f t="shared" si="45"/>
        <v>2.88</v>
      </c>
      <c r="I51" s="859">
        <f t="shared" si="46"/>
        <v>2.0735999999999999</v>
      </c>
      <c r="J51" s="859">
        <f t="shared" si="47"/>
        <v>13.824</v>
      </c>
      <c r="K51" s="792"/>
      <c r="L51" s="858">
        <v>19</v>
      </c>
      <c r="M51" s="858"/>
      <c r="N51" s="858">
        <v>8</v>
      </c>
      <c r="O51" s="858"/>
      <c r="P51" s="858"/>
      <c r="Q51" s="858">
        <v>0.1</v>
      </c>
      <c r="R51" s="858">
        <v>0.15</v>
      </c>
      <c r="S51" s="858">
        <v>0.1</v>
      </c>
      <c r="T51" s="858">
        <v>16</v>
      </c>
      <c r="U51" s="858"/>
      <c r="V51" s="861">
        <f t="shared" si="39"/>
        <v>8.1999999999999993</v>
      </c>
      <c r="W51" s="861">
        <f t="shared" si="40"/>
        <v>10.6</v>
      </c>
      <c r="X51" s="861">
        <f t="shared" si="41"/>
        <v>8.1999999999999993</v>
      </c>
      <c r="Y51" s="861"/>
      <c r="Z51" s="861"/>
      <c r="AA51" s="859">
        <f t="shared" si="48"/>
        <v>4.1779999999999999</v>
      </c>
      <c r="AB51" s="859"/>
      <c r="AC51" s="858">
        <f t="shared" si="49"/>
        <v>2.2560000000000002</v>
      </c>
      <c r="AD51" s="862">
        <f t="shared" si="50"/>
        <v>0.54</v>
      </c>
      <c r="AE51" s="862">
        <f t="shared" si="51"/>
        <v>0.54</v>
      </c>
      <c r="AF51" s="859">
        <f t="shared" si="52"/>
        <v>133.696</v>
      </c>
      <c r="AG51" s="859"/>
      <c r="AH51" s="859">
        <f t="shared" si="53"/>
        <v>121.824</v>
      </c>
      <c r="AI51" s="859"/>
      <c r="AJ51" s="859"/>
      <c r="AK51" s="863">
        <f t="shared" si="42"/>
        <v>2.2261666666666664</v>
      </c>
      <c r="AL51" s="863"/>
      <c r="AM51" s="863">
        <f t="shared" si="43"/>
        <v>0.39466666666666667</v>
      </c>
      <c r="AN51" s="863"/>
      <c r="AO51" s="863"/>
      <c r="AP51" s="859">
        <f t="shared" si="56"/>
        <v>297.62957866666665</v>
      </c>
      <c r="AQ51" s="859"/>
      <c r="AR51" s="859">
        <f t="shared" si="57"/>
        <v>48.079872000000002</v>
      </c>
      <c r="AS51" s="859"/>
      <c r="AT51" s="859"/>
      <c r="AU51" s="861">
        <f t="shared" si="44"/>
        <v>166.71944958847737</v>
      </c>
    </row>
    <row r="52" spans="1:47" ht="15.75" thickBot="1">
      <c r="A52" s="858">
        <v>9</v>
      </c>
      <c r="B52" s="858" t="s">
        <v>1028</v>
      </c>
      <c r="C52" s="858">
        <v>15</v>
      </c>
      <c r="D52" s="859">
        <v>0.6</v>
      </c>
      <c r="E52" s="859">
        <v>0.6</v>
      </c>
      <c r="F52" s="859">
        <v>3</v>
      </c>
      <c r="G52" s="858">
        <v>0.12</v>
      </c>
      <c r="H52" s="859">
        <f t="shared" si="45"/>
        <v>2.88</v>
      </c>
      <c r="I52" s="859">
        <f t="shared" si="46"/>
        <v>15.552</v>
      </c>
      <c r="J52" s="859">
        <f t="shared" si="47"/>
        <v>103.67999999999999</v>
      </c>
      <c r="K52" s="792"/>
      <c r="L52" s="858">
        <v>19</v>
      </c>
      <c r="M52" s="858"/>
      <c r="N52" s="858">
        <v>8</v>
      </c>
      <c r="O52" s="858"/>
      <c r="P52" s="858"/>
      <c r="Q52" s="858">
        <v>0.1</v>
      </c>
      <c r="R52" s="858">
        <v>0.15</v>
      </c>
      <c r="S52" s="858">
        <v>0.1</v>
      </c>
      <c r="T52" s="858">
        <v>20</v>
      </c>
      <c r="U52" s="858"/>
      <c r="V52" s="861">
        <f t="shared" si="39"/>
        <v>8.1999999999999993</v>
      </c>
      <c r="W52" s="861">
        <f t="shared" si="40"/>
        <v>10.6</v>
      </c>
      <c r="X52" s="861">
        <f t="shared" si="41"/>
        <v>8.1999999999999993</v>
      </c>
      <c r="Y52" s="861"/>
      <c r="Z52" s="861"/>
      <c r="AA52" s="859">
        <f t="shared" si="48"/>
        <v>4.1779999999999999</v>
      </c>
      <c r="AB52" s="859"/>
      <c r="AC52" s="858">
        <f t="shared" si="49"/>
        <v>2.2560000000000002</v>
      </c>
      <c r="AD52" s="862">
        <f t="shared" si="50"/>
        <v>0.54</v>
      </c>
      <c r="AE52" s="862">
        <f t="shared" si="51"/>
        <v>0.54</v>
      </c>
      <c r="AF52" s="859">
        <f t="shared" si="52"/>
        <v>1253.4000000000001</v>
      </c>
      <c r="AG52" s="859"/>
      <c r="AH52" s="859">
        <f t="shared" si="53"/>
        <v>913.68</v>
      </c>
      <c r="AI52" s="859"/>
      <c r="AJ52" s="859"/>
      <c r="AK52" s="863">
        <f t="shared" si="42"/>
        <v>2.2261666666666664</v>
      </c>
      <c r="AL52" s="863"/>
      <c r="AM52" s="863">
        <f t="shared" si="43"/>
        <v>0.39466666666666667</v>
      </c>
      <c r="AN52" s="863"/>
      <c r="AO52" s="863"/>
      <c r="AP52" s="859">
        <f t="shared" si="56"/>
        <v>2790.2772999999997</v>
      </c>
      <c r="AQ52" s="859"/>
      <c r="AR52" s="859">
        <f t="shared" si="57"/>
        <v>360.59904</v>
      </c>
      <c r="AS52" s="859"/>
      <c r="AT52" s="859"/>
      <c r="AU52" s="861">
        <f t="shared" si="44"/>
        <v>202.60264531893003</v>
      </c>
    </row>
    <row r="53" spans="1:47" ht="15.75" thickBot="1">
      <c r="A53" s="858"/>
      <c r="B53" s="858"/>
      <c r="C53" s="858"/>
      <c r="D53" s="859"/>
      <c r="E53" s="859"/>
      <c r="F53" s="859"/>
      <c r="G53" s="858"/>
      <c r="H53" s="859"/>
      <c r="I53" s="859"/>
      <c r="J53" s="859"/>
      <c r="K53" s="792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61"/>
      <c r="W53" s="861"/>
      <c r="X53" s="861"/>
      <c r="Y53" s="861"/>
      <c r="Z53" s="861"/>
      <c r="AA53" s="859"/>
      <c r="AB53" s="859"/>
      <c r="AC53" s="858"/>
      <c r="AD53" s="862"/>
      <c r="AE53" s="862"/>
      <c r="AF53" s="859"/>
      <c r="AG53" s="859"/>
      <c r="AH53" s="859"/>
      <c r="AI53" s="859"/>
      <c r="AJ53" s="859"/>
      <c r="AK53" s="863"/>
      <c r="AL53" s="863"/>
      <c r="AM53" s="863"/>
      <c r="AN53" s="863"/>
      <c r="AO53" s="863"/>
      <c r="AP53" s="859"/>
      <c r="AQ53" s="859"/>
      <c r="AR53" s="859"/>
      <c r="AS53" s="859"/>
      <c r="AT53" s="859"/>
      <c r="AU53" s="861"/>
    </row>
    <row r="54" spans="1:47" ht="15.75" thickBot="1">
      <c r="A54" s="879"/>
      <c r="B54" s="879"/>
      <c r="C54" s="879"/>
      <c r="D54" s="880"/>
      <c r="E54" s="880"/>
      <c r="F54" s="880"/>
      <c r="G54" s="879"/>
      <c r="H54" s="880"/>
      <c r="I54" s="880"/>
      <c r="J54" s="880"/>
      <c r="K54" s="792"/>
      <c r="L54" s="858"/>
      <c r="M54" s="858"/>
      <c r="N54" s="858"/>
      <c r="O54" s="858"/>
      <c r="P54" s="858"/>
      <c r="Q54" s="858"/>
      <c r="R54" s="858"/>
      <c r="S54" s="858"/>
      <c r="T54" s="858"/>
      <c r="U54" s="858"/>
      <c r="V54" s="861"/>
      <c r="W54" s="861"/>
      <c r="X54" s="861"/>
      <c r="Y54" s="861"/>
      <c r="Z54" s="861"/>
      <c r="AA54" s="859"/>
      <c r="AB54" s="859"/>
      <c r="AC54" s="858"/>
      <c r="AD54" s="862"/>
      <c r="AE54" s="862"/>
      <c r="AF54" s="859"/>
      <c r="AG54" s="859"/>
      <c r="AH54" s="859"/>
      <c r="AI54" s="859"/>
      <c r="AJ54" s="859"/>
      <c r="AK54" s="863"/>
      <c r="AL54" s="863"/>
      <c r="AM54" s="863"/>
      <c r="AN54" s="863"/>
      <c r="AO54" s="863"/>
      <c r="AP54" s="859"/>
      <c r="AQ54" s="859"/>
      <c r="AR54" s="859"/>
      <c r="AS54" s="859"/>
      <c r="AT54" s="859"/>
      <c r="AU54" s="861"/>
    </row>
    <row r="55" spans="1:47">
      <c r="A55" s="881" t="s">
        <v>66</v>
      </c>
      <c r="B55" s="882" t="s">
        <v>983</v>
      </c>
      <c r="C55" s="882"/>
      <c r="D55" s="883" t="s">
        <v>984</v>
      </c>
      <c r="E55" s="883"/>
      <c r="F55" s="883"/>
      <c r="G55" s="884" t="s">
        <v>985</v>
      </c>
      <c r="H55" s="884" t="s">
        <v>986</v>
      </c>
      <c r="I55" s="883" t="s">
        <v>392</v>
      </c>
      <c r="J55" s="885" t="s">
        <v>377</v>
      </c>
      <c r="K55" s="792"/>
      <c r="L55" s="801" t="s">
        <v>987</v>
      </c>
      <c r="M55" s="802"/>
      <c r="N55" s="803" t="s">
        <v>988</v>
      </c>
      <c r="O55" s="803"/>
      <c r="P55" s="803"/>
      <c r="Q55" s="803" t="s">
        <v>989</v>
      </c>
      <c r="R55" s="803"/>
      <c r="S55" s="803"/>
      <c r="T55" s="804"/>
      <c r="U55" s="805"/>
      <c r="V55" s="806" t="s">
        <v>990</v>
      </c>
      <c r="W55" s="806"/>
      <c r="X55" s="806"/>
      <c r="Y55" s="806"/>
      <c r="Z55" s="806"/>
      <c r="AA55" s="807" t="s">
        <v>991</v>
      </c>
      <c r="AB55" s="808"/>
      <c r="AC55" s="809" t="s">
        <v>992</v>
      </c>
      <c r="AD55" s="809"/>
      <c r="AE55" s="809"/>
      <c r="AF55" s="810" t="s">
        <v>993</v>
      </c>
      <c r="AG55" s="811"/>
      <c r="AH55" s="798" t="s">
        <v>994</v>
      </c>
      <c r="AI55" s="798"/>
      <c r="AJ55" s="798"/>
      <c r="AK55" s="812" t="s">
        <v>995</v>
      </c>
      <c r="AL55" s="813"/>
      <c r="AM55" s="814" t="s">
        <v>996</v>
      </c>
      <c r="AN55" s="814"/>
      <c r="AO55" s="814"/>
      <c r="AP55" s="798" t="s">
        <v>997</v>
      </c>
      <c r="AQ55" s="798"/>
      <c r="AR55" s="798"/>
      <c r="AS55" s="798"/>
      <c r="AT55" s="798"/>
      <c r="AU55" s="815" t="s">
        <v>998</v>
      </c>
    </row>
    <row r="56" spans="1:47" ht="15.75" thickBot="1">
      <c r="A56" s="816"/>
      <c r="B56" s="817" t="s">
        <v>372</v>
      </c>
      <c r="C56" s="817" t="s">
        <v>372</v>
      </c>
      <c r="D56" s="818" t="s">
        <v>999</v>
      </c>
      <c r="E56" s="818" t="s">
        <v>1000</v>
      </c>
      <c r="F56" s="818" t="s">
        <v>1001</v>
      </c>
      <c r="G56" s="819" t="s">
        <v>1002</v>
      </c>
      <c r="H56" s="819" t="s">
        <v>1003</v>
      </c>
      <c r="I56" s="818"/>
      <c r="J56" s="820"/>
      <c r="K56" s="792"/>
      <c r="L56" s="821" t="s">
        <v>1006</v>
      </c>
      <c r="M56" s="822"/>
      <c r="N56" s="819" t="s">
        <v>1004</v>
      </c>
      <c r="O56" s="819" t="s">
        <v>1005</v>
      </c>
      <c r="P56" s="819"/>
      <c r="Q56" s="819" t="s">
        <v>1001</v>
      </c>
      <c r="R56" s="819" t="s">
        <v>1000</v>
      </c>
      <c r="S56" s="819" t="s">
        <v>1001</v>
      </c>
      <c r="T56" s="823" t="s">
        <v>1006</v>
      </c>
      <c r="U56" s="824"/>
      <c r="V56" s="825" t="s">
        <v>1007</v>
      </c>
      <c r="W56" s="825"/>
      <c r="X56" s="825"/>
      <c r="Y56" s="825" t="s">
        <v>1005</v>
      </c>
      <c r="Z56" s="825"/>
      <c r="AA56" s="826" t="s">
        <v>1008</v>
      </c>
      <c r="AB56" s="827"/>
      <c r="AC56" s="819" t="s">
        <v>1004</v>
      </c>
      <c r="AD56" s="828" t="s">
        <v>1005</v>
      </c>
      <c r="AE56" s="828"/>
      <c r="AF56" s="829" t="s">
        <v>1006</v>
      </c>
      <c r="AG56" s="830"/>
      <c r="AH56" s="818" t="s">
        <v>1004</v>
      </c>
      <c r="AI56" s="818" t="s">
        <v>1005</v>
      </c>
      <c r="AJ56" s="818"/>
      <c r="AK56" s="831" t="s">
        <v>1009</v>
      </c>
      <c r="AL56" s="832"/>
      <c r="AM56" s="833"/>
      <c r="AN56" s="833"/>
      <c r="AO56" s="833"/>
      <c r="AP56" s="818" t="s">
        <v>1006</v>
      </c>
      <c r="AQ56" s="818"/>
      <c r="AR56" s="818" t="s">
        <v>1010</v>
      </c>
      <c r="AS56" s="818"/>
      <c r="AT56" s="818"/>
      <c r="AU56" s="834" t="s">
        <v>1011</v>
      </c>
    </row>
    <row r="57" spans="1:47" ht="15.75" thickTop="1">
      <c r="A57" s="816"/>
      <c r="B57" s="817"/>
      <c r="C57" s="817"/>
      <c r="D57" s="818"/>
      <c r="E57" s="818"/>
      <c r="F57" s="818"/>
      <c r="G57" s="819"/>
      <c r="H57" s="819"/>
      <c r="I57" s="818"/>
      <c r="J57" s="820"/>
      <c r="K57" s="792"/>
      <c r="L57" s="835"/>
      <c r="M57" s="836"/>
      <c r="N57" s="819"/>
      <c r="O57" s="837" t="s">
        <v>494</v>
      </c>
      <c r="P57" s="837" t="s">
        <v>1012</v>
      </c>
      <c r="Q57" s="819"/>
      <c r="R57" s="819"/>
      <c r="S57" s="819"/>
      <c r="T57" s="838"/>
      <c r="U57" s="839"/>
      <c r="V57" s="840" t="s">
        <v>1001</v>
      </c>
      <c r="W57" s="840" t="s">
        <v>1000</v>
      </c>
      <c r="X57" s="840" t="s">
        <v>1001</v>
      </c>
      <c r="Y57" s="840" t="s">
        <v>494</v>
      </c>
      <c r="Z57" s="840" t="s">
        <v>1012</v>
      </c>
      <c r="AA57" s="841" t="s">
        <v>1013</v>
      </c>
      <c r="AB57" s="842"/>
      <c r="AC57" s="819"/>
      <c r="AD57" s="843" t="s">
        <v>494</v>
      </c>
      <c r="AE57" s="843" t="s">
        <v>1012</v>
      </c>
      <c r="AF57" s="844"/>
      <c r="AG57" s="842"/>
      <c r="AH57" s="818"/>
      <c r="AI57" s="845" t="s">
        <v>494</v>
      </c>
      <c r="AJ57" s="845" t="s">
        <v>1012</v>
      </c>
      <c r="AK57" s="846" t="s">
        <v>1013</v>
      </c>
      <c r="AL57" s="847"/>
      <c r="AM57" s="833"/>
      <c r="AN57" s="833"/>
      <c r="AO57" s="833"/>
      <c r="AP57" s="818"/>
      <c r="AQ57" s="818"/>
      <c r="AR57" s="818"/>
      <c r="AS57" s="818"/>
      <c r="AT57" s="818"/>
      <c r="AU57" s="834"/>
    </row>
    <row r="58" spans="1:47" ht="15.75" thickBot="1">
      <c r="A58" s="886"/>
      <c r="B58" s="887"/>
      <c r="C58" s="887"/>
      <c r="D58" s="888" t="s">
        <v>151</v>
      </c>
      <c r="E58" s="888"/>
      <c r="F58" s="888"/>
      <c r="G58" s="888"/>
      <c r="H58" s="849"/>
      <c r="I58" s="889" t="s">
        <v>1014</v>
      </c>
      <c r="J58" s="890" t="s">
        <v>1015</v>
      </c>
      <c r="K58" s="792"/>
      <c r="L58" s="848" t="s">
        <v>1016</v>
      </c>
      <c r="M58" s="852"/>
      <c r="N58" s="852" t="s">
        <v>1016</v>
      </c>
      <c r="O58" s="852"/>
      <c r="P58" s="852"/>
      <c r="Q58" s="852" t="s">
        <v>151</v>
      </c>
      <c r="R58" s="852"/>
      <c r="S58" s="852"/>
      <c r="T58" s="823" t="s">
        <v>34</v>
      </c>
      <c r="U58" s="853"/>
      <c r="V58" s="854" t="s">
        <v>34</v>
      </c>
      <c r="W58" s="854"/>
      <c r="X58" s="854"/>
      <c r="Y58" s="854"/>
      <c r="Z58" s="854"/>
      <c r="AA58" s="849" t="s">
        <v>151</v>
      </c>
      <c r="AB58" s="849"/>
      <c r="AC58" s="852" t="s">
        <v>151</v>
      </c>
      <c r="AD58" s="852"/>
      <c r="AE58" s="852"/>
      <c r="AF58" s="849" t="s">
        <v>151</v>
      </c>
      <c r="AG58" s="849"/>
      <c r="AH58" s="849" t="s">
        <v>151</v>
      </c>
      <c r="AI58" s="849"/>
      <c r="AJ58" s="849"/>
      <c r="AK58" s="855" t="s">
        <v>1017</v>
      </c>
      <c r="AL58" s="855"/>
      <c r="AM58" s="855"/>
      <c r="AN58" s="855"/>
      <c r="AO58" s="855"/>
      <c r="AP58" s="849" t="s">
        <v>7</v>
      </c>
      <c r="AQ58" s="849"/>
      <c r="AR58" s="849"/>
      <c r="AS58" s="849"/>
      <c r="AT58" s="849"/>
      <c r="AU58" s="856"/>
    </row>
    <row r="59" spans="1:47" ht="16.5" thickTop="1" thickBot="1">
      <c r="A59" s="891" t="s">
        <v>1033</v>
      </c>
      <c r="B59" s="892"/>
      <c r="C59" s="892"/>
      <c r="D59" s="893"/>
      <c r="E59" s="893"/>
      <c r="F59" s="893"/>
      <c r="G59" s="892"/>
      <c r="H59" s="894"/>
      <c r="I59" s="893"/>
      <c r="J59" s="895"/>
      <c r="K59" s="792"/>
      <c r="L59" s="860" t="str">
        <f>A59</f>
        <v>Kolom Lantai 3</v>
      </c>
      <c r="M59" s="858"/>
      <c r="N59" s="858"/>
      <c r="O59" s="858"/>
      <c r="P59" s="858"/>
      <c r="Q59" s="858"/>
      <c r="R59" s="858"/>
      <c r="S59" s="858"/>
      <c r="T59" s="858"/>
      <c r="U59" s="858"/>
      <c r="V59" s="861"/>
      <c r="W59" s="861"/>
      <c r="X59" s="861"/>
      <c r="Y59" s="861"/>
      <c r="Z59" s="861"/>
      <c r="AA59" s="859"/>
      <c r="AB59" s="859"/>
      <c r="AC59" s="858"/>
      <c r="AD59" s="862"/>
      <c r="AE59" s="862"/>
      <c r="AF59" s="859"/>
      <c r="AG59" s="859"/>
      <c r="AH59" s="859"/>
      <c r="AI59" s="859"/>
      <c r="AJ59" s="859"/>
      <c r="AK59" s="863"/>
      <c r="AL59" s="863"/>
      <c r="AM59" s="863"/>
      <c r="AN59" s="863"/>
      <c r="AO59" s="863"/>
      <c r="AP59" s="859"/>
      <c r="AQ59" s="859"/>
      <c r="AR59" s="859"/>
      <c r="AS59" s="859"/>
      <c r="AT59" s="859"/>
      <c r="AU59" s="861"/>
    </row>
    <row r="60" spans="1:47" ht="15.75" thickBot="1">
      <c r="A60" s="858">
        <v>1</v>
      </c>
      <c r="B60" s="858" t="s">
        <v>1019</v>
      </c>
      <c r="C60" s="858">
        <v>17</v>
      </c>
      <c r="D60" s="859">
        <v>0.9</v>
      </c>
      <c r="E60" s="859">
        <v>0.9</v>
      </c>
      <c r="F60" s="859">
        <v>3</v>
      </c>
      <c r="G60" s="858">
        <v>0.12</v>
      </c>
      <c r="H60" s="859">
        <f>F60-G60</f>
        <v>2.88</v>
      </c>
      <c r="I60" s="859">
        <f>H60*E60*D60*C60</f>
        <v>39.657600000000002</v>
      </c>
      <c r="J60" s="859">
        <f>(D60+D60+E60+E60)*H60*C60</f>
        <v>176.256</v>
      </c>
      <c r="K60" s="792"/>
      <c r="L60" s="858">
        <v>25</v>
      </c>
      <c r="M60" s="858"/>
      <c r="N60" s="858">
        <v>13</v>
      </c>
      <c r="O60" s="858"/>
      <c r="P60" s="858"/>
      <c r="Q60" s="858">
        <v>0.1</v>
      </c>
      <c r="R60" s="858">
        <v>0.15</v>
      </c>
      <c r="S60" s="858">
        <v>0.1</v>
      </c>
      <c r="T60" s="858">
        <v>20</v>
      </c>
      <c r="U60" s="858"/>
      <c r="V60" s="861">
        <f t="shared" ref="V60:V68" si="58">(H60/4)/Q60+1</f>
        <v>8.1999999999999993</v>
      </c>
      <c r="W60" s="861">
        <f t="shared" ref="W60:W68" si="59">(H60/2)/R60+1</f>
        <v>10.6</v>
      </c>
      <c r="X60" s="861">
        <f t="shared" ref="X60:X68" si="60">(H60/4)/S60+1</f>
        <v>8.1999999999999993</v>
      </c>
      <c r="Y60" s="861"/>
      <c r="Z60" s="861"/>
      <c r="AA60" s="859">
        <f>(H60)+(2*6*L60/1000)+(50*L60/1000)+(0.12)</f>
        <v>4.55</v>
      </c>
      <c r="AB60" s="859"/>
      <c r="AC60" s="858">
        <f>(2*D60)+(2*E60)+(2*6*N60/1000)-(8*0.03)</f>
        <v>3.516</v>
      </c>
      <c r="AD60" s="862">
        <f>(E60)+(2*6*O60/1000)-(2*0.03)</f>
        <v>0.84000000000000008</v>
      </c>
      <c r="AE60" s="862">
        <f>(D60)+(2*6*P60/1000)-(2*0.03)</f>
        <v>0.84000000000000008</v>
      </c>
      <c r="AF60" s="859">
        <f>AA60*T60*C60</f>
        <v>1547</v>
      </c>
      <c r="AG60" s="859"/>
      <c r="AH60" s="859">
        <f>AC60*(V60+W60+X60)*C60</f>
        <v>1613.8439999999998</v>
      </c>
      <c r="AI60" s="859"/>
      <c r="AJ60" s="859"/>
      <c r="AK60" s="863">
        <f t="shared" ref="AK60:AK68" si="61">L60*L60*0.074/12</f>
        <v>3.8541666666666665</v>
      </c>
      <c r="AL60" s="863"/>
      <c r="AM60" s="863">
        <f t="shared" ref="AM60:AM68" si="62">N60*N60*0.074/12</f>
        <v>1.0421666666666667</v>
      </c>
      <c r="AN60" s="863"/>
      <c r="AO60" s="863"/>
      <c r="AP60" s="859">
        <f>AF60*AK60</f>
        <v>5962.395833333333</v>
      </c>
      <c r="AQ60" s="859"/>
      <c r="AR60" s="859">
        <f>AH60*AM60</f>
        <v>1681.8944219999998</v>
      </c>
      <c r="AS60" s="859"/>
      <c r="AT60" s="859"/>
      <c r="AU60" s="861">
        <f t="shared" ref="AU60:AU68" si="63">SUM(AP60:AT60)/I60</f>
        <v>192.75725851623227</v>
      </c>
    </row>
    <row r="61" spans="1:47" ht="15.75" thickBot="1">
      <c r="A61" s="858">
        <v>2</v>
      </c>
      <c r="B61" s="858" t="s">
        <v>1020</v>
      </c>
      <c r="C61" s="858">
        <v>4</v>
      </c>
      <c r="D61" s="859">
        <v>1</v>
      </c>
      <c r="E61" s="859">
        <v>1</v>
      </c>
      <c r="F61" s="859">
        <v>3</v>
      </c>
      <c r="G61" s="858">
        <v>0.12</v>
      </c>
      <c r="H61" s="859">
        <f t="shared" ref="H61:H68" si="64">F61-G61</f>
        <v>2.88</v>
      </c>
      <c r="I61" s="859">
        <f t="shared" ref="I61:I68" si="65">H61*E61*D61*C61</f>
        <v>11.52</v>
      </c>
      <c r="J61" s="859">
        <f t="shared" ref="J61:J68" si="66">(D61+D61+E61+E61)*H61*C61</f>
        <v>46.08</v>
      </c>
      <c r="K61" s="792"/>
      <c r="L61" s="858">
        <v>25</v>
      </c>
      <c r="M61" s="858"/>
      <c r="N61" s="858">
        <v>13</v>
      </c>
      <c r="O61" s="858"/>
      <c r="P61" s="858"/>
      <c r="Q61" s="858">
        <v>0.1</v>
      </c>
      <c r="R61" s="858">
        <v>0.15</v>
      </c>
      <c r="S61" s="858">
        <v>0.1</v>
      </c>
      <c r="T61" s="858">
        <v>24</v>
      </c>
      <c r="U61" s="858"/>
      <c r="V61" s="861">
        <f t="shared" si="58"/>
        <v>8.1999999999999993</v>
      </c>
      <c r="W61" s="861">
        <f t="shared" si="59"/>
        <v>10.6</v>
      </c>
      <c r="X61" s="861">
        <f t="shared" si="60"/>
        <v>8.1999999999999993</v>
      </c>
      <c r="Y61" s="861"/>
      <c r="Z61" s="861"/>
      <c r="AA61" s="859">
        <f t="shared" ref="AA61:AA68" si="67">(H61)+(2*6*L61/1000)+(50*L61/1000)+(0.12)</f>
        <v>4.55</v>
      </c>
      <c r="AB61" s="859"/>
      <c r="AC61" s="858">
        <f t="shared" ref="AC61:AC68" si="68">(2*D61)+(2*E61)+(2*6*N61/1000)-(8*0.03)</f>
        <v>3.9159999999999995</v>
      </c>
      <c r="AD61" s="862">
        <f t="shared" ref="AD61:AD68" si="69">(E61)+(2*6*O61/1000)-(2*0.03)</f>
        <v>0.94</v>
      </c>
      <c r="AE61" s="862">
        <f t="shared" ref="AE61:AE68" si="70">(D61)+(2*6*P61/1000)-(2*0.03)</f>
        <v>0.94</v>
      </c>
      <c r="AF61" s="859">
        <f t="shared" ref="AF61:AF68" si="71">AA61*T61*C61</f>
        <v>436.79999999999995</v>
      </c>
      <c r="AG61" s="859"/>
      <c r="AH61" s="859">
        <f t="shared" ref="AH61:AH68" si="72">AC61*(V61+W61+X61)*C61</f>
        <v>422.92799999999988</v>
      </c>
      <c r="AI61" s="859"/>
      <c r="AJ61" s="859"/>
      <c r="AK61" s="863">
        <f t="shared" si="61"/>
        <v>3.8541666666666665</v>
      </c>
      <c r="AL61" s="863"/>
      <c r="AM61" s="863">
        <f t="shared" si="62"/>
        <v>1.0421666666666667</v>
      </c>
      <c r="AN61" s="863"/>
      <c r="AO61" s="863"/>
      <c r="AP61" s="859">
        <f t="shared" ref="AP61" si="73">AF61*AK61</f>
        <v>1683.4999999999998</v>
      </c>
      <c r="AQ61" s="859"/>
      <c r="AR61" s="859">
        <f t="shared" ref="AR61" si="74">AH61*AM61</f>
        <v>440.76146399999988</v>
      </c>
      <c r="AS61" s="859"/>
      <c r="AT61" s="859"/>
      <c r="AU61" s="861">
        <f t="shared" si="63"/>
        <v>184.39769652777775</v>
      </c>
    </row>
    <row r="62" spans="1:47" ht="15.75" thickBot="1">
      <c r="A62" s="858">
        <v>3</v>
      </c>
      <c r="B62" s="858" t="s">
        <v>1021</v>
      </c>
      <c r="C62" s="858">
        <v>22</v>
      </c>
      <c r="D62" s="859">
        <v>0.5</v>
      </c>
      <c r="E62" s="859">
        <v>0.5</v>
      </c>
      <c r="F62" s="859">
        <v>3</v>
      </c>
      <c r="G62" s="858">
        <v>0.12</v>
      </c>
      <c r="H62" s="859">
        <f t="shared" si="64"/>
        <v>2.88</v>
      </c>
      <c r="I62" s="859">
        <f t="shared" si="65"/>
        <v>15.84</v>
      </c>
      <c r="J62" s="859">
        <f t="shared" si="66"/>
        <v>126.72</v>
      </c>
      <c r="K62" s="792"/>
      <c r="L62" s="858">
        <v>16</v>
      </c>
      <c r="M62" s="858"/>
      <c r="N62" s="858">
        <v>8</v>
      </c>
      <c r="O62" s="858"/>
      <c r="P62" s="858"/>
      <c r="Q62" s="858">
        <v>0.1</v>
      </c>
      <c r="R62" s="858">
        <v>0.15</v>
      </c>
      <c r="S62" s="858">
        <v>0.1</v>
      </c>
      <c r="T62" s="858">
        <v>8</v>
      </c>
      <c r="U62" s="858"/>
      <c r="V62" s="861">
        <f t="shared" si="58"/>
        <v>8.1999999999999993</v>
      </c>
      <c r="W62" s="861">
        <f t="shared" si="59"/>
        <v>10.6</v>
      </c>
      <c r="X62" s="861">
        <f t="shared" si="60"/>
        <v>8.1999999999999993</v>
      </c>
      <c r="Y62" s="861"/>
      <c r="Z62" s="861"/>
      <c r="AA62" s="859">
        <f t="shared" si="67"/>
        <v>3.992</v>
      </c>
      <c r="AB62" s="859"/>
      <c r="AC62" s="858">
        <f t="shared" si="68"/>
        <v>1.8560000000000001</v>
      </c>
      <c r="AD62" s="862">
        <f t="shared" si="69"/>
        <v>0.44</v>
      </c>
      <c r="AE62" s="862">
        <f t="shared" si="70"/>
        <v>0.44</v>
      </c>
      <c r="AF62" s="859">
        <f t="shared" si="71"/>
        <v>702.59199999999998</v>
      </c>
      <c r="AG62" s="859"/>
      <c r="AH62" s="859">
        <f t="shared" si="72"/>
        <v>1102.4639999999999</v>
      </c>
      <c r="AI62" s="859"/>
      <c r="AJ62" s="859"/>
      <c r="AK62" s="863">
        <f t="shared" si="61"/>
        <v>1.5786666666666667</v>
      </c>
      <c r="AL62" s="863"/>
      <c r="AM62" s="863">
        <f t="shared" si="62"/>
        <v>0.39466666666666667</v>
      </c>
      <c r="AN62" s="863"/>
      <c r="AO62" s="863"/>
      <c r="AP62" s="859">
        <f>AF62*AK62</f>
        <v>1109.1585706666667</v>
      </c>
      <c r="AQ62" s="859"/>
      <c r="AR62" s="859">
        <f>AH62*AM62</f>
        <v>435.10579199999995</v>
      </c>
      <c r="AS62" s="859"/>
      <c r="AT62" s="859"/>
      <c r="AU62" s="861">
        <f t="shared" si="63"/>
        <v>97.491437037037045</v>
      </c>
    </row>
    <row r="63" spans="1:47" ht="15.75" thickBot="1">
      <c r="A63" s="858">
        <v>4</v>
      </c>
      <c r="B63" s="858" t="s">
        <v>1022</v>
      </c>
      <c r="C63" s="858">
        <v>10</v>
      </c>
      <c r="D63" s="859">
        <v>0.4</v>
      </c>
      <c r="E63" s="859">
        <v>0.4</v>
      </c>
      <c r="F63" s="859">
        <v>3</v>
      </c>
      <c r="G63" s="858">
        <v>0.12</v>
      </c>
      <c r="H63" s="859">
        <f t="shared" si="64"/>
        <v>2.88</v>
      </c>
      <c r="I63" s="859">
        <f t="shared" si="65"/>
        <v>4.6079999999999997</v>
      </c>
      <c r="J63" s="859">
        <f t="shared" si="66"/>
        <v>46.08</v>
      </c>
      <c r="K63" s="792"/>
      <c r="L63" s="858">
        <v>16</v>
      </c>
      <c r="M63" s="858"/>
      <c r="N63" s="858">
        <v>8</v>
      </c>
      <c r="O63" s="858"/>
      <c r="P63" s="858"/>
      <c r="Q63" s="858">
        <v>0.1</v>
      </c>
      <c r="R63" s="858">
        <v>0.15</v>
      </c>
      <c r="S63" s="858">
        <v>0.1</v>
      </c>
      <c r="T63" s="858">
        <v>8</v>
      </c>
      <c r="U63" s="858"/>
      <c r="V63" s="861">
        <f t="shared" si="58"/>
        <v>8.1999999999999993</v>
      </c>
      <c r="W63" s="861">
        <f t="shared" si="59"/>
        <v>10.6</v>
      </c>
      <c r="X63" s="861">
        <f t="shared" si="60"/>
        <v>8.1999999999999993</v>
      </c>
      <c r="Y63" s="861"/>
      <c r="Z63" s="861"/>
      <c r="AA63" s="859">
        <f t="shared" si="67"/>
        <v>3.992</v>
      </c>
      <c r="AB63" s="859"/>
      <c r="AC63" s="858">
        <f t="shared" si="68"/>
        <v>1.4560000000000002</v>
      </c>
      <c r="AD63" s="862">
        <f t="shared" si="69"/>
        <v>0.34</v>
      </c>
      <c r="AE63" s="862">
        <f t="shared" si="70"/>
        <v>0.34</v>
      </c>
      <c r="AF63" s="859">
        <f t="shared" si="71"/>
        <v>319.36</v>
      </c>
      <c r="AG63" s="859"/>
      <c r="AH63" s="859">
        <f t="shared" si="72"/>
        <v>393.12</v>
      </c>
      <c r="AI63" s="859"/>
      <c r="AJ63" s="859"/>
      <c r="AK63" s="863">
        <f t="shared" si="61"/>
        <v>1.5786666666666667</v>
      </c>
      <c r="AL63" s="863"/>
      <c r="AM63" s="863">
        <f t="shared" si="62"/>
        <v>0.39466666666666667</v>
      </c>
      <c r="AN63" s="863"/>
      <c r="AO63" s="863"/>
      <c r="AP63" s="859">
        <f>AF63*AK63</f>
        <v>504.16298666666671</v>
      </c>
      <c r="AQ63" s="859"/>
      <c r="AR63" s="859">
        <f>AH63*AM63</f>
        <v>155.15136000000001</v>
      </c>
      <c r="AS63" s="859"/>
      <c r="AT63" s="859"/>
      <c r="AU63" s="861">
        <f t="shared" si="63"/>
        <v>143.08037037037042</v>
      </c>
    </row>
    <row r="64" spans="1:47" ht="15.75" thickBot="1">
      <c r="A64" s="858">
        <v>5</v>
      </c>
      <c r="B64" s="858" t="s">
        <v>1023</v>
      </c>
      <c r="C64" s="858">
        <v>4</v>
      </c>
      <c r="D64" s="859">
        <f>D60</f>
        <v>0.9</v>
      </c>
      <c r="E64" s="859">
        <f>E60</f>
        <v>0.9</v>
      </c>
      <c r="F64" s="859">
        <v>3</v>
      </c>
      <c r="G64" s="858">
        <v>0.12</v>
      </c>
      <c r="H64" s="859">
        <f t="shared" si="64"/>
        <v>2.88</v>
      </c>
      <c r="I64" s="859">
        <f t="shared" si="65"/>
        <v>9.3312000000000008</v>
      </c>
      <c r="J64" s="859">
        <f t="shared" si="66"/>
        <v>41.472000000000001</v>
      </c>
      <c r="K64" s="792"/>
      <c r="L64" s="858">
        <v>25</v>
      </c>
      <c r="M64" s="858"/>
      <c r="N64" s="858">
        <v>13</v>
      </c>
      <c r="O64" s="858"/>
      <c r="P64" s="858"/>
      <c r="Q64" s="858">
        <v>0.1</v>
      </c>
      <c r="R64" s="858">
        <v>0.15</v>
      </c>
      <c r="S64" s="858">
        <v>0.1</v>
      </c>
      <c r="T64" s="858">
        <v>20</v>
      </c>
      <c r="U64" s="858"/>
      <c r="V64" s="861">
        <f t="shared" si="58"/>
        <v>8.1999999999999993</v>
      </c>
      <c r="W64" s="861">
        <f t="shared" si="59"/>
        <v>10.6</v>
      </c>
      <c r="X64" s="861">
        <f t="shared" si="60"/>
        <v>8.1999999999999993</v>
      </c>
      <c r="Y64" s="861"/>
      <c r="Z64" s="861"/>
      <c r="AA64" s="859">
        <f t="shared" si="67"/>
        <v>4.55</v>
      </c>
      <c r="AB64" s="859"/>
      <c r="AC64" s="858">
        <f t="shared" si="68"/>
        <v>3.516</v>
      </c>
      <c r="AD64" s="862">
        <f t="shared" si="69"/>
        <v>0.84000000000000008</v>
      </c>
      <c r="AE64" s="862">
        <f t="shared" si="70"/>
        <v>0.84000000000000008</v>
      </c>
      <c r="AF64" s="859">
        <f t="shared" si="71"/>
        <v>364</v>
      </c>
      <c r="AG64" s="859"/>
      <c r="AH64" s="859">
        <f t="shared" si="72"/>
        <v>379.72799999999995</v>
      </c>
      <c r="AI64" s="859"/>
      <c r="AJ64" s="859"/>
      <c r="AK64" s="863">
        <f t="shared" si="61"/>
        <v>3.8541666666666665</v>
      </c>
      <c r="AL64" s="863"/>
      <c r="AM64" s="863">
        <f t="shared" si="62"/>
        <v>1.0421666666666667</v>
      </c>
      <c r="AN64" s="863"/>
      <c r="AO64" s="863"/>
      <c r="AP64" s="859">
        <f t="shared" ref="AP64:AP68" si="75">AF64*AK64</f>
        <v>1402.9166666666665</v>
      </c>
      <c r="AQ64" s="859"/>
      <c r="AR64" s="859">
        <f t="shared" ref="AR64:AR68" si="76">AH64*AM64</f>
        <v>395.73986399999995</v>
      </c>
      <c r="AS64" s="859"/>
      <c r="AT64" s="859"/>
      <c r="AU64" s="861">
        <f t="shared" si="63"/>
        <v>192.75725851623224</v>
      </c>
    </row>
    <row r="65" spans="1:47" ht="15.75" thickBot="1">
      <c r="A65" s="858">
        <v>6</v>
      </c>
      <c r="B65" s="858" t="s">
        <v>1024</v>
      </c>
      <c r="C65" s="858">
        <v>2</v>
      </c>
      <c r="D65" s="859">
        <v>1.2</v>
      </c>
      <c r="E65" s="859">
        <v>1.3</v>
      </c>
      <c r="F65" s="859">
        <v>3</v>
      </c>
      <c r="G65" s="858">
        <v>0.12</v>
      </c>
      <c r="H65" s="859">
        <f t="shared" si="64"/>
        <v>2.88</v>
      </c>
      <c r="I65" s="859">
        <f t="shared" si="65"/>
        <v>8.9855999999999998</v>
      </c>
      <c r="J65" s="859">
        <f t="shared" si="66"/>
        <v>28.799999999999997</v>
      </c>
      <c r="K65" s="792"/>
      <c r="L65" s="858">
        <v>25</v>
      </c>
      <c r="M65" s="858"/>
      <c r="N65" s="858">
        <v>13</v>
      </c>
      <c r="O65" s="858"/>
      <c r="P65" s="858"/>
      <c r="Q65" s="858">
        <v>0.1</v>
      </c>
      <c r="R65" s="858">
        <v>0.15</v>
      </c>
      <c r="S65" s="858">
        <v>0.1</v>
      </c>
      <c r="T65" s="858">
        <v>32</v>
      </c>
      <c r="U65" s="858"/>
      <c r="V65" s="861">
        <f t="shared" si="58"/>
        <v>8.1999999999999993</v>
      </c>
      <c r="W65" s="861">
        <f t="shared" si="59"/>
        <v>10.6</v>
      </c>
      <c r="X65" s="861">
        <f t="shared" si="60"/>
        <v>8.1999999999999993</v>
      </c>
      <c r="Y65" s="861"/>
      <c r="Z65" s="861"/>
      <c r="AA65" s="859">
        <f t="shared" si="67"/>
        <v>4.55</v>
      </c>
      <c r="AB65" s="859"/>
      <c r="AC65" s="858">
        <f t="shared" si="68"/>
        <v>4.9159999999999995</v>
      </c>
      <c r="AD65" s="862">
        <f t="shared" si="69"/>
        <v>1.24</v>
      </c>
      <c r="AE65" s="862">
        <f t="shared" si="70"/>
        <v>1.1399999999999999</v>
      </c>
      <c r="AF65" s="859">
        <f t="shared" si="71"/>
        <v>291.2</v>
      </c>
      <c r="AG65" s="859"/>
      <c r="AH65" s="859">
        <f t="shared" si="72"/>
        <v>265.46399999999994</v>
      </c>
      <c r="AI65" s="859"/>
      <c r="AJ65" s="859"/>
      <c r="AK65" s="863">
        <f t="shared" si="61"/>
        <v>3.8541666666666665</v>
      </c>
      <c r="AL65" s="863"/>
      <c r="AM65" s="863">
        <f t="shared" si="62"/>
        <v>1.0421666666666667</v>
      </c>
      <c r="AN65" s="863"/>
      <c r="AO65" s="863"/>
      <c r="AP65" s="859">
        <f t="shared" si="75"/>
        <v>1122.3333333333333</v>
      </c>
      <c r="AQ65" s="859"/>
      <c r="AR65" s="859">
        <f t="shared" si="76"/>
        <v>276.65773199999995</v>
      </c>
      <c r="AS65" s="859"/>
      <c r="AT65" s="859"/>
      <c r="AU65" s="861">
        <f t="shared" si="63"/>
        <v>155.69255979938271</v>
      </c>
    </row>
    <row r="66" spans="1:47" ht="15.75" thickBot="1">
      <c r="A66" s="858">
        <v>7</v>
      </c>
      <c r="B66" s="858" t="s">
        <v>1026</v>
      </c>
      <c r="C66" s="858">
        <v>8</v>
      </c>
      <c r="D66" s="859">
        <v>0.8</v>
      </c>
      <c r="E66" s="859">
        <v>0.8</v>
      </c>
      <c r="F66" s="859">
        <v>3</v>
      </c>
      <c r="G66" s="858">
        <v>0.12</v>
      </c>
      <c r="H66" s="859">
        <f t="shared" si="64"/>
        <v>2.88</v>
      </c>
      <c r="I66" s="859">
        <f t="shared" si="65"/>
        <v>14.7456</v>
      </c>
      <c r="J66" s="859">
        <f t="shared" si="66"/>
        <v>73.727999999999994</v>
      </c>
      <c r="K66" s="792"/>
      <c r="L66" s="858">
        <v>25</v>
      </c>
      <c r="M66" s="858"/>
      <c r="N66" s="858">
        <v>8</v>
      </c>
      <c r="O66" s="858"/>
      <c r="P66" s="858"/>
      <c r="Q66" s="858">
        <v>0.1</v>
      </c>
      <c r="R66" s="858">
        <v>0.15</v>
      </c>
      <c r="S66" s="858">
        <v>0.1</v>
      </c>
      <c r="T66" s="858">
        <v>16</v>
      </c>
      <c r="U66" s="858"/>
      <c r="V66" s="861">
        <f t="shared" si="58"/>
        <v>8.1999999999999993</v>
      </c>
      <c r="W66" s="861">
        <f t="shared" si="59"/>
        <v>10.6</v>
      </c>
      <c r="X66" s="861">
        <f t="shared" si="60"/>
        <v>8.1999999999999993</v>
      </c>
      <c r="Y66" s="861"/>
      <c r="Z66" s="861"/>
      <c r="AA66" s="859">
        <f t="shared" si="67"/>
        <v>4.55</v>
      </c>
      <c r="AB66" s="859"/>
      <c r="AC66" s="858">
        <f t="shared" si="68"/>
        <v>3.056</v>
      </c>
      <c r="AD66" s="862">
        <f t="shared" si="69"/>
        <v>0.74</v>
      </c>
      <c r="AE66" s="862">
        <f t="shared" si="70"/>
        <v>0.74</v>
      </c>
      <c r="AF66" s="859">
        <f t="shared" si="71"/>
        <v>582.4</v>
      </c>
      <c r="AG66" s="859"/>
      <c r="AH66" s="859">
        <f t="shared" si="72"/>
        <v>660.09599999999989</v>
      </c>
      <c r="AI66" s="859"/>
      <c r="AJ66" s="859"/>
      <c r="AK66" s="863">
        <f t="shared" si="61"/>
        <v>3.8541666666666665</v>
      </c>
      <c r="AL66" s="863"/>
      <c r="AM66" s="863">
        <f t="shared" si="62"/>
        <v>0.39466666666666667</v>
      </c>
      <c r="AN66" s="863"/>
      <c r="AO66" s="863"/>
      <c r="AP66" s="859">
        <f t="shared" si="75"/>
        <v>2244.6666666666665</v>
      </c>
      <c r="AQ66" s="859"/>
      <c r="AR66" s="859">
        <f t="shared" si="76"/>
        <v>260.51788799999997</v>
      </c>
      <c r="AS66" s="859"/>
      <c r="AT66" s="859"/>
      <c r="AU66" s="861">
        <f t="shared" si="63"/>
        <v>169.89370081018518</v>
      </c>
    </row>
    <row r="67" spans="1:47" ht="15.75" thickBot="1">
      <c r="A67" s="858">
        <v>8</v>
      </c>
      <c r="B67" s="858" t="s">
        <v>1027</v>
      </c>
      <c r="C67" s="858">
        <v>2</v>
      </c>
      <c r="D67" s="859">
        <v>0.6</v>
      </c>
      <c r="E67" s="859">
        <v>0.6</v>
      </c>
      <c r="F67" s="859">
        <v>3</v>
      </c>
      <c r="G67" s="858">
        <v>0.12</v>
      </c>
      <c r="H67" s="859">
        <f t="shared" si="64"/>
        <v>2.88</v>
      </c>
      <c r="I67" s="859">
        <f t="shared" si="65"/>
        <v>2.0735999999999999</v>
      </c>
      <c r="J67" s="859">
        <f t="shared" si="66"/>
        <v>13.824</v>
      </c>
      <c r="K67" s="792"/>
      <c r="L67" s="858">
        <v>19</v>
      </c>
      <c r="M67" s="858"/>
      <c r="N67" s="858">
        <v>8</v>
      </c>
      <c r="O67" s="858"/>
      <c r="P67" s="858"/>
      <c r="Q67" s="858">
        <v>0.1</v>
      </c>
      <c r="R67" s="858">
        <v>0.15</v>
      </c>
      <c r="S67" s="858">
        <v>0.1</v>
      </c>
      <c r="T67" s="858">
        <v>16</v>
      </c>
      <c r="U67" s="858"/>
      <c r="V67" s="861">
        <f t="shared" si="58"/>
        <v>8.1999999999999993</v>
      </c>
      <c r="W67" s="861">
        <f t="shared" si="59"/>
        <v>10.6</v>
      </c>
      <c r="X67" s="861">
        <f t="shared" si="60"/>
        <v>8.1999999999999993</v>
      </c>
      <c r="Y67" s="861"/>
      <c r="Z67" s="861"/>
      <c r="AA67" s="859">
        <f t="shared" si="67"/>
        <v>4.1779999999999999</v>
      </c>
      <c r="AB67" s="859"/>
      <c r="AC67" s="858">
        <f t="shared" si="68"/>
        <v>2.2560000000000002</v>
      </c>
      <c r="AD67" s="862">
        <f t="shared" si="69"/>
        <v>0.54</v>
      </c>
      <c r="AE67" s="862">
        <f t="shared" si="70"/>
        <v>0.54</v>
      </c>
      <c r="AF67" s="859">
        <f t="shared" si="71"/>
        <v>133.696</v>
      </c>
      <c r="AG67" s="859"/>
      <c r="AH67" s="859">
        <f t="shared" si="72"/>
        <v>121.824</v>
      </c>
      <c r="AI67" s="859"/>
      <c r="AJ67" s="859"/>
      <c r="AK67" s="863">
        <f t="shared" si="61"/>
        <v>2.2261666666666664</v>
      </c>
      <c r="AL67" s="863"/>
      <c r="AM67" s="863">
        <f t="shared" si="62"/>
        <v>0.39466666666666667</v>
      </c>
      <c r="AN67" s="863"/>
      <c r="AO67" s="863"/>
      <c r="AP67" s="859">
        <f t="shared" si="75"/>
        <v>297.62957866666665</v>
      </c>
      <c r="AQ67" s="859"/>
      <c r="AR67" s="859">
        <f t="shared" si="76"/>
        <v>48.079872000000002</v>
      </c>
      <c r="AS67" s="859"/>
      <c r="AT67" s="859"/>
      <c r="AU67" s="861">
        <f t="shared" si="63"/>
        <v>166.71944958847737</v>
      </c>
    </row>
    <row r="68" spans="1:47" ht="15.75" thickBot="1">
      <c r="A68" s="858">
        <v>9</v>
      </c>
      <c r="B68" s="858" t="s">
        <v>1028</v>
      </c>
      <c r="C68" s="858">
        <v>15</v>
      </c>
      <c r="D68" s="859">
        <v>0.6</v>
      </c>
      <c r="E68" s="859">
        <v>0.6</v>
      </c>
      <c r="F68" s="859">
        <v>3</v>
      </c>
      <c r="G68" s="858">
        <v>0.12</v>
      </c>
      <c r="H68" s="859">
        <f t="shared" si="64"/>
        <v>2.88</v>
      </c>
      <c r="I68" s="859">
        <f t="shared" si="65"/>
        <v>15.552</v>
      </c>
      <c r="J68" s="859">
        <f t="shared" si="66"/>
        <v>103.67999999999999</v>
      </c>
      <c r="K68" s="792"/>
      <c r="L68" s="858">
        <v>19</v>
      </c>
      <c r="M68" s="858"/>
      <c r="N68" s="858">
        <v>8</v>
      </c>
      <c r="O68" s="858"/>
      <c r="P68" s="858"/>
      <c r="Q68" s="858">
        <v>0.1</v>
      </c>
      <c r="R68" s="858">
        <v>0.15</v>
      </c>
      <c r="S68" s="858">
        <v>0.1</v>
      </c>
      <c r="T68" s="858">
        <v>20</v>
      </c>
      <c r="U68" s="858"/>
      <c r="V68" s="861">
        <f t="shared" si="58"/>
        <v>8.1999999999999993</v>
      </c>
      <c r="W68" s="861">
        <f t="shared" si="59"/>
        <v>10.6</v>
      </c>
      <c r="X68" s="861">
        <f t="shared" si="60"/>
        <v>8.1999999999999993</v>
      </c>
      <c r="Y68" s="861"/>
      <c r="Z68" s="861"/>
      <c r="AA68" s="859">
        <f t="shared" si="67"/>
        <v>4.1779999999999999</v>
      </c>
      <c r="AB68" s="859"/>
      <c r="AC68" s="858">
        <f t="shared" si="68"/>
        <v>2.2560000000000002</v>
      </c>
      <c r="AD68" s="862">
        <f t="shared" si="69"/>
        <v>0.54</v>
      </c>
      <c r="AE68" s="862">
        <f t="shared" si="70"/>
        <v>0.54</v>
      </c>
      <c r="AF68" s="859">
        <f t="shared" si="71"/>
        <v>1253.4000000000001</v>
      </c>
      <c r="AG68" s="859"/>
      <c r="AH68" s="859">
        <f t="shared" si="72"/>
        <v>913.68</v>
      </c>
      <c r="AI68" s="859"/>
      <c r="AJ68" s="859"/>
      <c r="AK68" s="863">
        <f t="shared" si="61"/>
        <v>2.2261666666666664</v>
      </c>
      <c r="AL68" s="863"/>
      <c r="AM68" s="863">
        <f t="shared" si="62"/>
        <v>0.39466666666666667</v>
      </c>
      <c r="AN68" s="863"/>
      <c r="AO68" s="863"/>
      <c r="AP68" s="859">
        <f t="shared" si="75"/>
        <v>2790.2772999999997</v>
      </c>
      <c r="AQ68" s="859"/>
      <c r="AR68" s="859">
        <f t="shared" si="76"/>
        <v>360.59904</v>
      </c>
      <c r="AS68" s="859"/>
      <c r="AT68" s="859"/>
      <c r="AU68" s="861">
        <f t="shared" si="63"/>
        <v>202.60264531893003</v>
      </c>
    </row>
    <row r="69" spans="1:47" ht="15.75" thickBot="1">
      <c r="A69" s="858"/>
      <c r="B69" s="858"/>
      <c r="C69" s="858"/>
      <c r="D69" s="859"/>
      <c r="E69" s="859"/>
      <c r="F69" s="859"/>
      <c r="G69" s="858"/>
      <c r="H69" s="859"/>
      <c r="I69" s="859"/>
      <c r="J69" s="859"/>
      <c r="K69" s="792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61"/>
      <c r="W69" s="861"/>
      <c r="X69" s="861"/>
      <c r="Y69" s="861"/>
      <c r="Z69" s="861"/>
      <c r="AA69" s="859"/>
      <c r="AB69" s="859"/>
      <c r="AC69" s="858"/>
      <c r="AD69" s="862"/>
      <c r="AE69" s="862"/>
      <c r="AF69" s="859"/>
      <c r="AG69" s="859"/>
      <c r="AH69" s="859"/>
      <c r="AI69" s="859"/>
      <c r="AJ69" s="859"/>
      <c r="AK69" s="863"/>
      <c r="AL69" s="863"/>
      <c r="AM69" s="863"/>
      <c r="AN69" s="863"/>
      <c r="AO69" s="863"/>
      <c r="AP69" s="859"/>
      <c r="AQ69" s="859"/>
      <c r="AR69" s="859"/>
      <c r="AS69" s="859"/>
      <c r="AT69" s="859"/>
      <c r="AU69" s="861"/>
    </row>
    <row r="70" spans="1:47" ht="15.75" thickBot="1">
      <c r="A70" s="792"/>
      <c r="B70" s="792"/>
      <c r="C70" s="792"/>
      <c r="D70" s="794"/>
      <c r="E70" s="794"/>
      <c r="F70" s="794"/>
      <c r="G70" s="792"/>
      <c r="H70" s="792"/>
      <c r="I70" s="794"/>
      <c r="J70" s="794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792"/>
      <c r="V70" s="795"/>
      <c r="W70" s="795"/>
      <c r="X70" s="795"/>
      <c r="Y70" s="795"/>
      <c r="Z70" s="795"/>
      <c r="AA70" s="794"/>
      <c r="AB70" s="794"/>
      <c r="AC70" s="792"/>
      <c r="AD70" s="896"/>
      <c r="AE70" s="896"/>
      <c r="AF70" s="794"/>
      <c r="AG70" s="794"/>
      <c r="AH70" s="794"/>
      <c r="AI70" s="794"/>
      <c r="AJ70" s="794"/>
      <c r="AK70" s="897"/>
      <c r="AL70" s="897"/>
      <c r="AM70" s="897"/>
      <c r="AN70" s="897"/>
      <c r="AO70" s="897"/>
      <c r="AP70" s="794"/>
      <c r="AQ70" s="794"/>
      <c r="AR70" s="794"/>
      <c r="AS70" s="794"/>
      <c r="AT70" s="794"/>
      <c r="AU70" s="795"/>
    </row>
    <row r="71" spans="1:47">
      <c r="A71" s="796" t="s">
        <v>66</v>
      </c>
      <c r="B71" s="797" t="s">
        <v>983</v>
      </c>
      <c r="C71" s="797"/>
      <c r="D71" s="798" t="s">
        <v>984</v>
      </c>
      <c r="E71" s="798"/>
      <c r="F71" s="798"/>
      <c r="G71" s="799" t="s">
        <v>985</v>
      </c>
      <c r="H71" s="799" t="s">
        <v>986</v>
      </c>
      <c r="I71" s="798" t="s">
        <v>392</v>
      </c>
      <c r="J71" s="800" t="s">
        <v>377</v>
      </c>
      <c r="K71" s="792"/>
      <c r="L71" s="801" t="s">
        <v>987</v>
      </c>
      <c r="M71" s="802"/>
      <c r="N71" s="803" t="s">
        <v>988</v>
      </c>
      <c r="O71" s="803"/>
      <c r="P71" s="803"/>
      <c r="Q71" s="803" t="s">
        <v>989</v>
      </c>
      <c r="R71" s="803"/>
      <c r="S71" s="803"/>
      <c r="T71" s="804"/>
      <c r="U71" s="805"/>
      <c r="V71" s="806" t="s">
        <v>990</v>
      </c>
      <c r="W71" s="806"/>
      <c r="X71" s="806"/>
      <c r="Y71" s="806"/>
      <c r="Z71" s="806"/>
      <c r="AA71" s="807" t="s">
        <v>991</v>
      </c>
      <c r="AB71" s="808"/>
      <c r="AC71" s="809" t="s">
        <v>992</v>
      </c>
      <c r="AD71" s="809"/>
      <c r="AE71" s="809"/>
      <c r="AF71" s="810" t="s">
        <v>993</v>
      </c>
      <c r="AG71" s="811"/>
      <c r="AH71" s="798" t="s">
        <v>994</v>
      </c>
      <c r="AI71" s="798"/>
      <c r="AJ71" s="798"/>
      <c r="AK71" s="812" t="s">
        <v>995</v>
      </c>
      <c r="AL71" s="813"/>
      <c r="AM71" s="814" t="s">
        <v>996</v>
      </c>
      <c r="AN71" s="814"/>
      <c r="AO71" s="814"/>
      <c r="AP71" s="798" t="s">
        <v>997</v>
      </c>
      <c r="AQ71" s="798"/>
      <c r="AR71" s="798"/>
      <c r="AS71" s="798"/>
      <c r="AT71" s="798"/>
      <c r="AU71" s="815" t="s">
        <v>998</v>
      </c>
    </row>
    <row r="72" spans="1:47" ht="15.75" thickBot="1">
      <c r="A72" s="816"/>
      <c r="B72" s="817" t="s">
        <v>372</v>
      </c>
      <c r="C72" s="817" t="s">
        <v>372</v>
      </c>
      <c r="D72" s="818" t="s">
        <v>999</v>
      </c>
      <c r="E72" s="818" t="s">
        <v>1000</v>
      </c>
      <c r="F72" s="818" t="s">
        <v>1001</v>
      </c>
      <c r="G72" s="819" t="s">
        <v>1002</v>
      </c>
      <c r="H72" s="819" t="s">
        <v>1003</v>
      </c>
      <c r="I72" s="818"/>
      <c r="J72" s="820"/>
      <c r="K72" s="792"/>
      <c r="L72" s="821" t="s">
        <v>1006</v>
      </c>
      <c r="M72" s="822"/>
      <c r="N72" s="819" t="s">
        <v>1004</v>
      </c>
      <c r="O72" s="819" t="s">
        <v>1005</v>
      </c>
      <c r="P72" s="819"/>
      <c r="Q72" s="819" t="s">
        <v>1001</v>
      </c>
      <c r="R72" s="819" t="s">
        <v>1000</v>
      </c>
      <c r="S72" s="819" t="s">
        <v>1001</v>
      </c>
      <c r="T72" s="823" t="s">
        <v>1006</v>
      </c>
      <c r="U72" s="824"/>
      <c r="V72" s="825" t="s">
        <v>1007</v>
      </c>
      <c r="W72" s="825"/>
      <c r="X72" s="825"/>
      <c r="Y72" s="825" t="s">
        <v>1005</v>
      </c>
      <c r="Z72" s="825"/>
      <c r="AA72" s="826" t="s">
        <v>1008</v>
      </c>
      <c r="AB72" s="827"/>
      <c r="AC72" s="819" t="s">
        <v>1004</v>
      </c>
      <c r="AD72" s="828" t="s">
        <v>1005</v>
      </c>
      <c r="AE72" s="828"/>
      <c r="AF72" s="829" t="s">
        <v>1006</v>
      </c>
      <c r="AG72" s="830"/>
      <c r="AH72" s="818" t="s">
        <v>1004</v>
      </c>
      <c r="AI72" s="818" t="s">
        <v>1005</v>
      </c>
      <c r="AJ72" s="818"/>
      <c r="AK72" s="831" t="s">
        <v>1009</v>
      </c>
      <c r="AL72" s="832"/>
      <c r="AM72" s="833"/>
      <c r="AN72" s="833"/>
      <c r="AO72" s="833"/>
      <c r="AP72" s="818" t="s">
        <v>1006</v>
      </c>
      <c r="AQ72" s="818"/>
      <c r="AR72" s="818" t="s">
        <v>1010</v>
      </c>
      <c r="AS72" s="818"/>
      <c r="AT72" s="818"/>
      <c r="AU72" s="834" t="s">
        <v>1011</v>
      </c>
    </row>
    <row r="73" spans="1:47" ht="15.75" thickTop="1">
      <c r="A73" s="816"/>
      <c r="B73" s="817"/>
      <c r="C73" s="817"/>
      <c r="D73" s="818"/>
      <c r="E73" s="818"/>
      <c r="F73" s="818"/>
      <c r="G73" s="819"/>
      <c r="H73" s="819"/>
      <c r="I73" s="818"/>
      <c r="J73" s="820"/>
      <c r="K73" s="792"/>
      <c r="L73" s="835"/>
      <c r="M73" s="836"/>
      <c r="N73" s="819"/>
      <c r="O73" s="837" t="s">
        <v>494</v>
      </c>
      <c r="P73" s="837" t="s">
        <v>1012</v>
      </c>
      <c r="Q73" s="819"/>
      <c r="R73" s="819"/>
      <c r="S73" s="819"/>
      <c r="T73" s="838"/>
      <c r="U73" s="839"/>
      <c r="V73" s="840" t="s">
        <v>1001</v>
      </c>
      <c r="W73" s="840" t="s">
        <v>1000</v>
      </c>
      <c r="X73" s="840" t="s">
        <v>1001</v>
      </c>
      <c r="Y73" s="840" t="s">
        <v>494</v>
      </c>
      <c r="Z73" s="840" t="s">
        <v>1012</v>
      </c>
      <c r="AA73" s="841" t="s">
        <v>1013</v>
      </c>
      <c r="AB73" s="842"/>
      <c r="AC73" s="819"/>
      <c r="AD73" s="843" t="s">
        <v>494</v>
      </c>
      <c r="AE73" s="843" t="s">
        <v>1012</v>
      </c>
      <c r="AF73" s="844"/>
      <c r="AG73" s="842"/>
      <c r="AH73" s="818"/>
      <c r="AI73" s="845" t="s">
        <v>494</v>
      </c>
      <c r="AJ73" s="845" t="s">
        <v>1012</v>
      </c>
      <c r="AK73" s="846" t="s">
        <v>1013</v>
      </c>
      <c r="AL73" s="847"/>
      <c r="AM73" s="833"/>
      <c r="AN73" s="833"/>
      <c r="AO73" s="833"/>
      <c r="AP73" s="818"/>
      <c r="AQ73" s="818"/>
      <c r="AR73" s="818"/>
      <c r="AS73" s="818"/>
      <c r="AT73" s="818"/>
      <c r="AU73" s="834"/>
    </row>
    <row r="74" spans="1:47" ht="15.75" thickBot="1">
      <c r="A74" s="848"/>
      <c r="B74" s="817"/>
      <c r="C74" s="817"/>
      <c r="D74" s="849" t="s">
        <v>151</v>
      </c>
      <c r="E74" s="849"/>
      <c r="F74" s="849"/>
      <c r="G74" s="849"/>
      <c r="H74" s="849"/>
      <c r="I74" s="850" t="s">
        <v>1014</v>
      </c>
      <c r="J74" s="851" t="s">
        <v>1015</v>
      </c>
      <c r="K74" s="792"/>
      <c r="L74" s="848" t="s">
        <v>1016</v>
      </c>
      <c r="M74" s="852"/>
      <c r="N74" s="852" t="s">
        <v>1016</v>
      </c>
      <c r="O74" s="852"/>
      <c r="P74" s="852"/>
      <c r="Q74" s="852" t="s">
        <v>151</v>
      </c>
      <c r="R74" s="852"/>
      <c r="S74" s="852"/>
      <c r="T74" s="823" t="s">
        <v>34</v>
      </c>
      <c r="U74" s="853"/>
      <c r="V74" s="854" t="s">
        <v>34</v>
      </c>
      <c r="W74" s="854"/>
      <c r="X74" s="854"/>
      <c r="Y74" s="854"/>
      <c r="Z74" s="854"/>
      <c r="AA74" s="849" t="s">
        <v>151</v>
      </c>
      <c r="AB74" s="849"/>
      <c r="AC74" s="852" t="s">
        <v>151</v>
      </c>
      <c r="AD74" s="852"/>
      <c r="AE74" s="852"/>
      <c r="AF74" s="849" t="s">
        <v>151</v>
      </c>
      <c r="AG74" s="849"/>
      <c r="AH74" s="849" t="s">
        <v>151</v>
      </c>
      <c r="AI74" s="849"/>
      <c r="AJ74" s="849"/>
      <c r="AK74" s="855" t="s">
        <v>1017</v>
      </c>
      <c r="AL74" s="855"/>
      <c r="AM74" s="855"/>
      <c r="AN74" s="855"/>
      <c r="AO74" s="855"/>
      <c r="AP74" s="849" t="s">
        <v>7</v>
      </c>
      <c r="AQ74" s="849"/>
      <c r="AR74" s="849"/>
      <c r="AS74" s="849"/>
      <c r="AT74" s="849"/>
      <c r="AU74" s="856"/>
    </row>
    <row r="75" spans="1:47" ht="15.75" thickBot="1">
      <c r="A75" s="857" t="s">
        <v>1034</v>
      </c>
      <c r="B75" s="858"/>
      <c r="C75" s="858"/>
      <c r="D75" s="859"/>
      <c r="E75" s="859"/>
      <c r="F75" s="859"/>
      <c r="G75" s="858"/>
      <c r="H75" s="859"/>
      <c r="I75" s="859"/>
      <c r="J75" s="859"/>
      <c r="K75" s="792"/>
      <c r="L75" s="860" t="str">
        <f>A75</f>
        <v>Kolom Lantai 4</v>
      </c>
      <c r="M75" s="858"/>
      <c r="N75" s="858"/>
      <c r="O75" s="858"/>
      <c r="P75" s="858"/>
      <c r="Q75" s="858"/>
      <c r="R75" s="858"/>
      <c r="S75" s="858"/>
      <c r="T75" s="858"/>
      <c r="U75" s="858"/>
      <c r="V75" s="861"/>
      <c r="W75" s="861"/>
      <c r="X75" s="861"/>
      <c r="Y75" s="861"/>
      <c r="Z75" s="861"/>
      <c r="AA75" s="859"/>
      <c r="AB75" s="859"/>
      <c r="AC75" s="858"/>
      <c r="AD75" s="862"/>
      <c r="AE75" s="862"/>
      <c r="AF75" s="859"/>
      <c r="AG75" s="859"/>
      <c r="AH75" s="859"/>
      <c r="AI75" s="859"/>
      <c r="AJ75" s="859"/>
      <c r="AK75" s="863"/>
      <c r="AL75" s="863"/>
      <c r="AM75" s="863"/>
      <c r="AN75" s="863"/>
      <c r="AO75" s="863"/>
      <c r="AP75" s="859"/>
      <c r="AQ75" s="859"/>
      <c r="AR75" s="859"/>
      <c r="AS75" s="859"/>
      <c r="AT75" s="859"/>
      <c r="AU75" s="861"/>
    </row>
    <row r="76" spans="1:47" ht="15.75" thickBot="1">
      <c r="A76" s="858">
        <v>1</v>
      </c>
      <c r="B76" s="858" t="s">
        <v>1019</v>
      </c>
      <c r="C76" s="858">
        <v>17</v>
      </c>
      <c r="D76" s="859">
        <v>0.9</v>
      </c>
      <c r="E76" s="859">
        <v>0.9</v>
      </c>
      <c r="F76" s="859">
        <v>3</v>
      </c>
      <c r="G76" s="858">
        <v>0.12</v>
      </c>
      <c r="H76" s="859">
        <f>F76-G76</f>
        <v>2.88</v>
      </c>
      <c r="I76" s="859">
        <f>H76*E76*D76*C76</f>
        <v>39.657600000000002</v>
      </c>
      <c r="J76" s="859">
        <f>(D76+D76+E76+E76)*H76*C76</f>
        <v>176.256</v>
      </c>
      <c r="K76" s="792"/>
      <c r="L76" s="858">
        <v>25</v>
      </c>
      <c r="M76" s="858"/>
      <c r="N76" s="858">
        <v>13</v>
      </c>
      <c r="O76" s="858"/>
      <c r="P76" s="858"/>
      <c r="Q76" s="858">
        <v>0.1</v>
      </c>
      <c r="R76" s="858">
        <v>0.15</v>
      </c>
      <c r="S76" s="858">
        <v>0.1</v>
      </c>
      <c r="T76" s="858">
        <v>20</v>
      </c>
      <c r="U76" s="858"/>
      <c r="V76" s="861">
        <f t="shared" ref="V76:V84" si="77">(H76/4)/Q76+1</f>
        <v>8.1999999999999993</v>
      </c>
      <c r="W76" s="861">
        <f t="shared" ref="W76:W84" si="78">(H76/2)/R76+1</f>
        <v>10.6</v>
      </c>
      <c r="X76" s="861">
        <f t="shared" ref="X76:X84" si="79">(H76/4)/S76+1</f>
        <v>8.1999999999999993</v>
      </c>
      <c r="Y76" s="861"/>
      <c r="Z76" s="861"/>
      <c r="AA76" s="859">
        <f>(H76)+(2*6*L76/1000)+(50*L76/1000)+(0.12)</f>
        <v>4.55</v>
      </c>
      <c r="AB76" s="859"/>
      <c r="AC76" s="858">
        <f>(2*D76)+(2*E76)+(2*6*N76/1000)-(8*0.03)</f>
        <v>3.516</v>
      </c>
      <c r="AD76" s="862">
        <f>(E76)+(2*6*O76/1000)-(2*0.03)</f>
        <v>0.84000000000000008</v>
      </c>
      <c r="AE76" s="862">
        <f>(D76)+(2*6*P76/1000)-(2*0.03)</f>
        <v>0.84000000000000008</v>
      </c>
      <c r="AF76" s="859">
        <f>AA76*T76*C76</f>
        <v>1547</v>
      </c>
      <c r="AG76" s="859"/>
      <c r="AH76" s="859">
        <f>AC76*(V76+W76+X76)*C76</f>
        <v>1613.8439999999998</v>
      </c>
      <c r="AI76" s="859"/>
      <c r="AJ76" s="859"/>
      <c r="AK76" s="863">
        <f t="shared" ref="AK76:AK84" si="80">L76*L76*0.074/12</f>
        <v>3.8541666666666665</v>
      </c>
      <c r="AL76" s="863"/>
      <c r="AM76" s="863">
        <f t="shared" ref="AM76:AM84" si="81">N76*N76*0.074/12</f>
        <v>1.0421666666666667</v>
      </c>
      <c r="AN76" s="863"/>
      <c r="AO76" s="863"/>
      <c r="AP76" s="859">
        <f>AF76*AK76</f>
        <v>5962.395833333333</v>
      </c>
      <c r="AQ76" s="859"/>
      <c r="AR76" s="859">
        <f>AH76*AM76</f>
        <v>1681.8944219999998</v>
      </c>
      <c r="AS76" s="859"/>
      <c r="AT76" s="859"/>
      <c r="AU76" s="861">
        <f t="shared" ref="AU76:AU84" si="82">SUM(AP76:AT76)/I76</f>
        <v>192.75725851623227</v>
      </c>
    </row>
    <row r="77" spans="1:47" ht="15.75" thickBot="1">
      <c r="A77" s="858">
        <v>2</v>
      </c>
      <c r="B77" s="858" t="s">
        <v>1020</v>
      </c>
      <c r="C77" s="858">
        <v>4</v>
      </c>
      <c r="D77" s="859">
        <v>1</v>
      </c>
      <c r="E77" s="859">
        <v>1</v>
      </c>
      <c r="F77" s="859">
        <v>3</v>
      </c>
      <c r="G77" s="858">
        <v>0.12</v>
      </c>
      <c r="H77" s="859">
        <f t="shared" ref="H77:H84" si="83">F77-G77</f>
        <v>2.88</v>
      </c>
      <c r="I77" s="859">
        <f t="shared" ref="I77:I84" si="84">H77*E77*D77*C77</f>
        <v>11.52</v>
      </c>
      <c r="J77" s="859">
        <f t="shared" ref="J77:J84" si="85">(D77+D77+E77+E77)*H77*C77</f>
        <v>46.08</v>
      </c>
      <c r="K77" s="792"/>
      <c r="L77" s="858">
        <v>25</v>
      </c>
      <c r="M77" s="858"/>
      <c r="N77" s="858">
        <v>13</v>
      </c>
      <c r="O77" s="858"/>
      <c r="P77" s="858"/>
      <c r="Q77" s="858">
        <v>0.1</v>
      </c>
      <c r="R77" s="858">
        <v>0.15</v>
      </c>
      <c r="S77" s="858">
        <v>0.1</v>
      </c>
      <c r="T77" s="858">
        <v>24</v>
      </c>
      <c r="U77" s="858"/>
      <c r="V77" s="861">
        <f t="shared" si="77"/>
        <v>8.1999999999999993</v>
      </c>
      <c r="W77" s="861">
        <f t="shared" si="78"/>
        <v>10.6</v>
      </c>
      <c r="X77" s="861">
        <f t="shared" si="79"/>
        <v>8.1999999999999993</v>
      </c>
      <c r="Y77" s="861"/>
      <c r="Z77" s="861"/>
      <c r="AA77" s="859">
        <f t="shared" ref="AA77:AA84" si="86">(H77)+(2*6*L77/1000)+(50*L77/1000)+(0.12)</f>
        <v>4.55</v>
      </c>
      <c r="AB77" s="859"/>
      <c r="AC77" s="858">
        <f t="shared" ref="AC77:AC84" si="87">(2*D77)+(2*E77)+(2*6*N77/1000)-(8*0.03)</f>
        <v>3.9159999999999995</v>
      </c>
      <c r="AD77" s="862">
        <f t="shared" ref="AD77:AD84" si="88">(E77)+(2*6*O77/1000)-(2*0.03)</f>
        <v>0.94</v>
      </c>
      <c r="AE77" s="862">
        <f t="shared" ref="AE77:AE84" si="89">(D77)+(2*6*P77/1000)-(2*0.03)</f>
        <v>0.94</v>
      </c>
      <c r="AF77" s="859">
        <f t="shared" ref="AF77:AF84" si="90">AA77*T77*C77</f>
        <v>436.79999999999995</v>
      </c>
      <c r="AG77" s="859"/>
      <c r="AH77" s="859">
        <f t="shared" ref="AH77:AH84" si="91">AC77*(V77+W77+X77)*C77</f>
        <v>422.92799999999988</v>
      </c>
      <c r="AI77" s="859"/>
      <c r="AJ77" s="859"/>
      <c r="AK77" s="863">
        <f t="shared" si="80"/>
        <v>3.8541666666666665</v>
      </c>
      <c r="AL77" s="863"/>
      <c r="AM77" s="863">
        <f t="shared" si="81"/>
        <v>1.0421666666666667</v>
      </c>
      <c r="AN77" s="863"/>
      <c r="AO77" s="863"/>
      <c r="AP77" s="859">
        <f t="shared" ref="AP77" si="92">AF77*AK77</f>
        <v>1683.4999999999998</v>
      </c>
      <c r="AQ77" s="859"/>
      <c r="AR77" s="859">
        <f t="shared" ref="AR77" si="93">AH77*AM77</f>
        <v>440.76146399999988</v>
      </c>
      <c r="AS77" s="859"/>
      <c r="AT77" s="859"/>
      <c r="AU77" s="861">
        <f t="shared" si="82"/>
        <v>184.39769652777775</v>
      </c>
    </row>
    <row r="78" spans="1:47" ht="15.75" thickBot="1">
      <c r="A78" s="858">
        <v>3</v>
      </c>
      <c r="B78" s="858" t="s">
        <v>1021</v>
      </c>
      <c r="C78" s="858">
        <v>22</v>
      </c>
      <c r="D78" s="859">
        <v>0.5</v>
      </c>
      <c r="E78" s="859">
        <v>0.5</v>
      </c>
      <c r="F78" s="859">
        <v>3</v>
      </c>
      <c r="G78" s="858">
        <v>0.12</v>
      </c>
      <c r="H78" s="859">
        <f t="shared" si="83"/>
        <v>2.88</v>
      </c>
      <c r="I78" s="859">
        <f t="shared" si="84"/>
        <v>15.84</v>
      </c>
      <c r="J78" s="859">
        <f t="shared" si="85"/>
        <v>126.72</v>
      </c>
      <c r="K78" s="792"/>
      <c r="L78" s="858">
        <v>16</v>
      </c>
      <c r="M78" s="858"/>
      <c r="N78" s="858">
        <v>8</v>
      </c>
      <c r="O78" s="858"/>
      <c r="P78" s="858"/>
      <c r="Q78" s="858">
        <v>0.1</v>
      </c>
      <c r="R78" s="858">
        <v>0.15</v>
      </c>
      <c r="S78" s="858">
        <v>0.1</v>
      </c>
      <c r="T78" s="858">
        <v>8</v>
      </c>
      <c r="U78" s="858"/>
      <c r="V78" s="861">
        <f t="shared" si="77"/>
        <v>8.1999999999999993</v>
      </c>
      <c r="W78" s="861">
        <f t="shared" si="78"/>
        <v>10.6</v>
      </c>
      <c r="X78" s="861">
        <f t="shared" si="79"/>
        <v>8.1999999999999993</v>
      </c>
      <c r="Y78" s="861"/>
      <c r="Z78" s="861"/>
      <c r="AA78" s="859">
        <f t="shared" si="86"/>
        <v>3.992</v>
      </c>
      <c r="AB78" s="859"/>
      <c r="AC78" s="858">
        <f t="shared" si="87"/>
        <v>1.8560000000000001</v>
      </c>
      <c r="AD78" s="862">
        <f t="shared" si="88"/>
        <v>0.44</v>
      </c>
      <c r="AE78" s="862">
        <f t="shared" si="89"/>
        <v>0.44</v>
      </c>
      <c r="AF78" s="859">
        <f t="shared" si="90"/>
        <v>702.59199999999998</v>
      </c>
      <c r="AG78" s="859"/>
      <c r="AH78" s="859">
        <f t="shared" si="91"/>
        <v>1102.4639999999999</v>
      </c>
      <c r="AI78" s="859"/>
      <c r="AJ78" s="859"/>
      <c r="AK78" s="863">
        <f t="shared" si="80"/>
        <v>1.5786666666666667</v>
      </c>
      <c r="AL78" s="863"/>
      <c r="AM78" s="863">
        <f t="shared" si="81"/>
        <v>0.39466666666666667</v>
      </c>
      <c r="AN78" s="863"/>
      <c r="AO78" s="863"/>
      <c r="AP78" s="859">
        <f>AF78*AK78</f>
        <v>1109.1585706666667</v>
      </c>
      <c r="AQ78" s="859"/>
      <c r="AR78" s="859">
        <f>AH78*AM78</f>
        <v>435.10579199999995</v>
      </c>
      <c r="AS78" s="859"/>
      <c r="AT78" s="859"/>
      <c r="AU78" s="861">
        <f t="shared" si="82"/>
        <v>97.491437037037045</v>
      </c>
    </row>
    <row r="79" spans="1:47" ht="15.75" thickBot="1">
      <c r="A79" s="858">
        <v>4</v>
      </c>
      <c r="B79" s="858" t="s">
        <v>1022</v>
      </c>
      <c r="C79" s="858">
        <v>10</v>
      </c>
      <c r="D79" s="859">
        <v>0.4</v>
      </c>
      <c r="E79" s="859">
        <v>0.4</v>
      </c>
      <c r="F79" s="859">
        <v>3</v>
      </c>
      <c r="G79" s="858">
        <v>0.12</v>
      </c>
      <c r="H79" s="859">
        <f t="shared" si="83"/>
        <v>2.88</v>
      </c>
      <c r="I79" s="859">
        <f t="shared" si="84"/>
        <v>4.6079999999999997</v>
      </c>
      <c r="J79" s="859">
        <f t="shared" si="85"/>
        <v>46.08</v>
      </c>
      <c r="K79" s="792"/>
      <c r="L79" s="858">
        <v>16</v>
      </c>
      <c r="M79" s="858"/>
      <c r="N79" s="858">
        <v>8</v>
      </c>
      <c r="O79" s="858"/>
      <c r="P79" s="858"/>
      <c r="Q79" s="858">
        <v>0.1</v>
      </c>
      <c r="R79" s="858">
        <v>0.15</v>
      </c>
      <c r="S79" s="858">
        <v>0.1</v>
      </c>
      <c r="T79" s="858">
        <v>8</v>
      </c>
      <c r="U79" s="858"/>
      <c r="V79" s="861">
        <f t="shared" si="77"/>
        <v>8.1999999999999993</v>
      </c>
      <c r="W79" s="861">
        <f t="shared" si="78"/>
        <v>10.6</v>
      </c>
      <c r="X79" s="861">
        <f t="shared" si="79"/>
        <v>8.1999999999999993</v>
      </c>
      <c r="Y79" s="861"/>
      <c r="Z79" s="861"/>
      <c r="AA79" s="859">
        <f t="shared" si="86"/>
        <v>3.992</v>
      </c>
      <c r="AB79" s="859"/>
      <c r="AC79" s="858">
        <f t="shared" si="87"/>
        <v>1.4560000000000002</v>
      </c>
      <c r="AD79" s="862">
        <f t="shared" si="88"/>
        <v>0.34</v>
      </c>
      <c r="AE79" s="862">
        <f t="shared" si="89"/>
        <v>0.34</v>
      </c>
      <c r="AF79" s="859">
        <f t="shared" si="90"/>
        <v>319.36</v>
      </c>
      <c r="AG79" s="859"/>
      <c r="AH79" s="859">
        <f t="shared" si="91"/>
        <v>393.12</v>
      </c>
      <c r="AI79" s="859"/>
      <c r="AJ79" s="859"/>
      <c r="AK79" s="863">
        <f t="shared" si="80"/>
        <v>1.5786666666666667</v>
      </c>
      <c r="AL79" s="863"/>
      <c r="AM79" s="863">
        <f t="shared" si="81"/>
        <v>0.39466666666666667</v>
      </c>
      <c r="AN79" s="863"/>
      <c r="AO79" s="863"/>
      <c r="AP79" s="859">
        <f>AF79*AK79</f>
        <v>504.16298666666671</v>
      </c>
      <c r="AQ79" s="859"/>
      <c r="AR79" s="859">
        <f>AH79*AM79</f>
        <v>155.15136000000001</v>
      </c>
      <c r="AS79" s="859"/>
      <c r="AT79" s="859"/>
      <c r="AU79" s="861">
        <f t="shared" si="82"/>
        <v>143.08037037037042</v>
      </c>
    </row>
    <row r="80" spans="1:47" ht="15.75" thickBot="1">
      <c r="A80" s="858">
        <v>5</v>
      </c>
      <c r="B80" s="858" t="s">
        <v>1023</v>
      </c>
      <c r="C80" s="858">
        <v>4</v>
      </c>
      <c r="D80" s="859">
        <f>D76</f>
        <v>0.9</v>
      </c>
      <c r="E80" s="859">
        <f>E76</f>
        <v>0.9</v>
      </c>
      <c r="F80" s="859">
        <v>3</v>
      </c>
      <c r="G80" s="858">
        <v>0.12</v>
      </c>
      <c r="H80" s="859">
        <f t="shared" si="83"/>
        <v>2.88</v>
      </c>
      <c r="I80" s="859">
        <f t="shared" si="84"/>
        <v>9.3312000000000008</v>
      </c>
      <c r="J80" s="859">
        <f t="shared" si="85"/>
        <v>41.472000000000001</v>
      </c>
      <c r="K80" s="792"/>
      <c r="L80" s="858">
        <v>25</v>
      </c>
      <c r="M80" s="858"/>
      <c r="N80" s="858">
        <v>13</v>
      </c>
      <c r="O80" s="858"/>
      <c r="P80" s="858"/>
      <c r="Q80" s="858">
        <v>0.1</v>
      </c>
      <c r="R80" s="858">
        <v>0.15</v>
      </c>
      <c r="S80" s="858">
        <v>0.1</v>
      </c>
      <c r="T80" s="858">
        <v>20</v>
      </c>
      <c r="U80" s="858"/>
      <c r="V80" s="861">
        <f t="shared" si="77"/>
        <v>8.1999999999999993</v>
      </c>
      <c r="W80" s="861">
        <f t="shared" si="78"/>
        <v>10.6</v>
      </c>
      <c r="X80" s="861">
        <f t="shared" si="79"/>
        <v>8.1999999999999993</v>
      </c>
      <c r="Y80" s="861"/>
      <c r="Z80" s="861"/>
      <c r="AA80" s="859">
        <f t="shared" si="86"/>
        <v>4.55</v>
      </c>
      <c r="AB80" s="859"/>
      <c r="AC80" s="858">
        <f t="shared" si="87"/>
        <v>3.516</v>
      </c>
      <c r="AD80" s="862">
        <f t="shared" si="88"/>
        <v>0.84000000000000008</v>
      </c>
      <c r="AE80" s="862">
        <f t="shared" si="89"/>
        <v>0.84000000000000008</v>
      </c>
      <c r="AF80" s="859">
        <f t="shared" si="90"/>
        <v>364</v>
      </c>
      <c r="AG80" s="859"/>
      <c r="AH80" s="859">
        <f t="shared" si="91"/>
        <v>379.72799999999995</v>
      </c>
      <c r="AI80" s="859"/>
      <c r="AJ80" s="859"/>
      <c r="AK80" s="863">
        <f t="shared" si="80"/>
        <v>3.8541666666666665</v>
      </c>
      <c r="AL80" s="863"/>
      <c r="AM80" s="863">
        <f t="shared" si="81"/>
        <v>1.0421666666666667</v>
      </c>
      <c r="AN80" s="863"/>
      <c r="AO80" s="863"/>
      <c r="AP80" s="859">
        <f t="shared" ref="AP80:AP84" si="94">AF80*AK80</f>
        <v>1402.9166666666665</v>
      </c>
      <c r="AQ80" s="859"/>
      <c r="AR80" s="859">
        <f t="shared" ref="AR80:AR84" si="95">AH80*AM80</f>
        <v>395.73986399999995</v>
      </c>
      <c r="AS80" s="859"/>
      <c r="AT80" s="859"/>
      <c r="AU80" s="861">
        <f t="shared" si="82"/>
        <v>192.75725851623224</v>
      </c>
    </row>
    <row r="81" spans="1:47" ht="15.75" thickBot="1">
      <c r="A81" s="858">
        <v>6</v>
      </c>
      <c r="B81" s="858" t="s">
        <v>1024</v>
      </c>
      <c r="C81" s="858">
        <v>2</v>
      </c>
      <c r="D81" s="859">
        <v>1.2</v>
      </c>
      <c r="E81" s="859">
        <v>1.3</v>
      </c>
      <c r="F81" s="859">
        <v>3</v>
      </c>
      <c r="G81" s="858">
        <v>0.12</v>
      </c>
      <c r="H81" s="859">
        <f t="shared" si="83"/>
        <v>2.88</v>
      </c>
      <c r="I81" s="859">
        <f t="shared" si="84"/>
        <v>8.9855999999999998</v>
      </c>
      <c r="J81" s="859">
        <f t="shared" si="85"/>
        <v>28.799999999999997</v>
      </c>
      <c r="K81" s="792"/>
      <c r="L81" s="858">
        <v>25</v>
      </c>
      <c r="M81" s="858"/>
      <c r="N81" s="858">
        <v>13</v>
      </c>
      <c r="O81" s="858"/>
      <c r="P81" s="858"/>
      <c r="Q81" s="858">
        <v>0.1</v>
      </c>
      <c r="R81" s="858">
        <v>0.15</v>
      </c>
      <c r="S81" s="858">
        <v>0.1</v>
      </c>
      <c r="T81" s="858">
        <v>32</v>
      </c>
      <c r="U81" s="858"/>
      <c r="V81" s="861">
        <f t="shared" si="77"/>
        <v>8.1999999999999993</v>
      </c>
      <c r="W81" s="861">
        <f t="shared" si="78"/>
        <v>10.6</v>
      </c>
      <c r="X81" s="861">
        <f t="shared" si="79"/>
        <v>8.1999999999999993</v>
      </c>
      <c r="Y81" s="861"/>
      <c r="Z81" s="861"/>
      <c r="AA81" s="859">
        <f t="shared" si="86"/>
        <v>4.55</v>
      </c>
      <c r="AB81" s="859"/>
      <c r="AC81" s="858">
        <f t="shared" si="87"/>
        <v>4.9159999999999995</v>
      </c>
      <c r="AD81" s="862">
        <f t="shared" si="88"/>
        <v>1.24</v>
      </c>
      <c r="AE81" s="862">
        <f t="shared" si="89"/>
        <v>1.1399999999999999</v>
      </c>
      <c r="AF81" s="859">
        <f t="shared" si="90"/>
        <v>291.2</v>
      </c>
      <c r="AG81" s="859"/>
      <c r="AH81" s="859">
        <f t="shared" si="91"/>
        <v>265.46399999999994</v>
      </c>
      <c r="AI81" s="859"/>
      <c r="AJ81" s="859"/>
      <c r="AK81" s="863">
        <f t="shared" si="80"/>
        <v>3.8541666666666665</v>
      </c>
      <c r="AL81" s="863"/>
      <c r="AM81" s="863">
        <f t="shared" si="81"/>
        <v>1.0421666666666667</v>
      </c>
      <c r="AN81" s="863"/>
      <c r="AO81" s="863"/>
      <c r="AP81" s="859">
        <f t="shared" si="94"/>
        <v>1122.3333333333333</v>
      </c>
      <c r="AQ81" s="859"/>
      <c r="AR81" s="859">
        <f t="shared" si="95"/>
        <v>276.65773199999995</v>
      </c>
      <c r="AS81" s="859"/>
      <c r="AT81" s="859"/>
      <c r="AU81" s="861">
        <f t="shared" si="82"/>
        <v>155.69255979938271</v>
      </c>
    </row>
    <row r="82" spans="1:47" ht="15.75" thickBot="1">
      <c r="A82" s="858">
        <v>7</v>
      </c>
      <c r="B82" s="858" t="s">
        <v>1026</v>
      </c>
      <c r="C82" s="858">
        <v>8</v>
      </c>
      <c r="D82" s="859">
        <v>0.8</v>
      </c>
      <c r="E82" s="859">
        <v>0.8</v>
      </c>
      <c r="F82" s="859">
        <v>3</v>
      </c>
      <c r="G82" s="858">
        <v>0.12</v>
      </c>
      <c r="H82" s="859">
        <f t="shared" si="83"/>
        <v>2.88</v>
      </c>
      <c r="I82" s="859">
        <f t="shared" si="84"/>
        <v>14.7456</v>
      </c>
      <c r="J82" s="859">
        <f t="shared" si="85"/>
        <v>73.727999999999994</v>
      </c>
      <c r="K82" s="792"/>
      <c r="L82" s="858">
        <v>25</v>
      </c>
      <c r="M82" s="858"/>
      <c r="N82" s="858">
        <v>8</v>
      </c>
      <c r="O82" s="858"/>
      <c r="P82" s="858"/>
      <c r="Q82" s="858">
        <v>0.1</v>
      </c>
      <c r="R82" s="858">
        <v>0.15</v>
      </c>
      <c r="S82" s="858">
        <v>0.1</v>
      </c>
      <c r="T82" s="858">
        <v>16</v>
      </c>
      <c r="U82" s="858"/>
      <c r="V82" s="861">
        <f t="shared" si="77"/>
        <v>8.1999999999999993</v>
      </c>
      <c r="W82" s="861">
        <f t="shared" si="78"/>
        <v>10.6</v>
      </c>
      <c r="X82" s="861">
        <f t="shared" si="79"/>
        <v>8.1999999999999993</v>
      </c>
      <c r="Y82" s="861"/>
      <c r="Z82" s="861"/>
      <c r="AA82" s="859">
        <f t="shared" si="86"/>
        <v>4.55</v>
      </c>
      <c r="AB82" s="859"/>
      <c r="AC82" s="858">
        <f t="shared" si="87"/>
        <v>3.056</v>
      </c>
      <c r="AD82" s="862">
        <f t="shared" si="88"/>
        <v>0.74</v>
      </c>
      <c r="AE82" s="862">
        <f t="shared" si="89"/>
        <v>0.74</v>
      </c>
      <c r="AF82" s="859">
        <f t="shared" si="90"/>
        <v>582.4</v>
      </c>
      <c r="AG82" s="859"/>
      <c r="AH82" s="859">
        <f t="shared" si="91"/>
        <v>660.09599999999989</v>
      </c>
      <c r="AI82" s="859"/>
      <c r="AJ82" s="859"/>
      <c r="AK82" s="863">
        <f t="shared" si="80"/>
        <v>3.8541666666666665</v>
      </c>
      <c r="AL82" s="863"/>
      <c r="AM82" s="863">
        <f t="shared" si="81"/>
        <v>0.39466666666666667</v>
      </c>
      <c r="AN82" s="863"/>
      <c r="AO82" s="863"/>
      <c r="AP82" s="859">
        <f t="shared" si="94"/>
        <v>2244.6666666666665</v>
      </c>
      <c r="AQ82" s="859"/>
      <c r="AR82" s="859">
        <f t="shared" si="95"/>
        <v>260.51788799999997</v>
      </c>
      <c r="AS82" s="859"/>
      <c r="AT82" s="859"/>
      <c r="AU82" s="861">
        <f t="shared" si="82"/>
        <v>169.89370081018518</v>
      </c>
    </row>
    <row r="83" spans="1:47" ht="15.75" thickBot="1">
      <c r="A83" s="858">
        <v>8</v>
      </c>
      <c r="B83" s="858" t="s">
        <v>1027</v>
      </c>
      <c r="C83" s="858">
        <v>2</v>
      </c>
      <c r="D83" s="859">
        <v>0.6</v>
      </c>
      <c r="E83" s="859">
        <v>0.6</v>
      </c>
      <c r="F83" s="859">
        <v>3</v>
      </c>
      <c r="G83" s="858">
        <v>0.12</v>
      </c>
      <c r="H83" s="859">
        <f t="shared" si="83"/>
        <v>2.88</v>
      </c>
      <c r="I83" s="859">
        <f t="shared" si="84"/>
        <v>2.0735999999999999</v>
      </c>
      <c r="J83" s="859">
        <f t="shared" si="85"/>
        <v>13.824</v>
      </c>
      <c r="K83" s="792"/>
      <c r="L83" s="858">
        <v>19</v>
      </c>
      <c r="M83" s="858"/>
      <c r="N83" s="858">
        <v>8</v>
      </c>
      <c r="O83" s="858"/>
      <c r="P83" s="858"/>
      <c r="Q83" s="858">
        <v>0.1</v>
      </c>
      <c r="R83" s="858">
        <v>0.15</v>
      </c>
      <c r="S83" s="858">
        <v>0.1</v>
      </c>
      <c r="T83" s="858">
        <v>16</v>
      </c>
      <c r="U83" s="858"/>
      <c r="V83" s="861">
        <f t="shared" si="77"/>
        <v>8.1999999999999993</v>
      </c>
      <c r="W83" s="861">
        <f t="shared" si="78"/>
        <v>10.6</v>
      </c>
      <c r="X83" s="861">
        <f t="shared" si="79"/>
        <v>8.1999999999999993</v>
      </c>
      <c r="Y83" s="861"/>
      <c r="Z83" s="861"/>
      <c r="AA83" s="859">
        <f t="shared" si="86"/>
        <v>4.1779999999999999</v>
      </c>
      <c r="AB83" s="859"/>
      <c r="AC83" s="858">
        <f t="shared" si="87"/>
        <v>2.2560000000000002</v>
      </c>
      <c r="AD83" s="862">
        <f t="shared" si="88"/>
        <v>0.54</v>
      </c>
      <c r="AE83" s="862">
        <f t="shared" si="89"/>
        <v>0.54</v>
      </c>
      <c r="AF83" s="859">
        <f t="shared" si="90"/>
        <v>133.696</v>
      </c>
      <c r="AG83" s="859"/>
      <c r="AH83" s="859">
        <f t="shared" si="91"/>
        <v>121.824</v>
      </c>
      <c r="AI83" s="859"/>
      <c r="AJ83" s="859"/>
      <c r="AK83" s="863">
        <f t="shared" si="80"/>
        <v>2.2261666666666664</v>
      </c>
      <c r="AL83" s="863"/>
      <c r="AM83" s="863">
        <f t="shared" si="81"/>
        <v>0.39466666666666667</v>
      </c>
      <c r="AN83" s="863"/>
      <c r="AO83" s="863"/>
      <c r="AP83" s="859">
        <f t="shared" si="94"/>
        <v>297.62957866666665</v>
      </c>
      <c r="AQ83" s="859"/>
      <c r="AR83" s="859">
        <f t="shared" si="95"/>
        <v>48.079872000000002</v>
      </c>
      <c r="AS83" s="859"/>
      <c r="AT83" s="859"/>
      <c r="AU83" s="861">
        <f t="shared" si="82"/>
        <v>166.71944958847737</v>
      </c>
    </row>
    <row r="84" spans="1:47" ht="15.75" thickBot="1">
      <c r="A84" s="858">
        <v>9</v>
      </c>
      <c r="B84" s="858" t="s">
        <v>1028</v>
      </c>
      <c r="C84" s="858">
        <v>15</v>
      </c>
      <c r="D84" s="859">
        <v>0.6</v>
      </c>
      <c r="E84" s="859">
        <v>0.6</v>
      </c>
      <c r="F84" s="859">
        <v>3</v>
      </c>
      <c r="G84" s="858">
        <v>0.12</v>
      </c>
      <c r="H84" s="859">
        <f t="shared" si="83"/>
        <v>2.88</v>
      </c>
      <c r="I84" s="859">
        <f t="shared" si="84"/>
        <v>15.552</v>
      </c>
      <c r="J84" s="859">
        <f t="shared" si="85"/>
        <v>103.67999999999999</v>
      </c>
      <c r="K84" s="792"/>
      <c r="L84" s="858">
        <v>19</v>
      </c>
      <c r="M84" s="858"/>
      <c r="N84" s="858">
        <v>8</v>
      </c>
      <c r="O84" s="858"/>
      <c r="P84" s="858"/>
      <c r="Q84" s="858">
        <v>0.1</v>
      </c>
      <c r="R84" s="858">
        <v>0.15</v>
      </c>
      <c r="S84" s="858">
        <v>0.1</v>
      </c>
      <c r="T84" s="858">
        <v>20</v>
      </c>
      <c r="U84" s="858"/>
      <c r="V84" s="861">
        <f t="shared" si="77"/>
        <v>8.1999999999999993</v>
      </c>
      <c r="W84" s="861">
        <f t="shared" si="78"/>
        <v>10.6</v>
      </c>
      <c r="X84" s="861">
        <f t="shared" si="79"/>
        <v>8.1999999999999993</v>
      </c>
      <c r="Y84" s="861"/>
      <c r="Z84" s="861"/>
      <c r="AA84" s="859">
        <f t="shared" si="86"/>
        <v>4.1779999999999999</v>
      </c>
      <c r="AB84" s="859"/>
      <c r="AC84" s="858">
        <f t="shared" si="87"/>
        <v>2.2560000000000002</v>
      </c>
      <c r="AD84" s="862">
        <f t="shared" si="88"/>
        <v>0.54</v>
      </c>
      <c r="AE84" s="862">
        <f t="shared" si="89"/>
        <v>0.54</v>
      </c>
      <c r="AF84" s="859">
        <f t="shared" si="90"/>
        <v>1253.4000000000001</v>
      </c>
      <c r="AG84" s="859"/>
      <c r="AH84" s="859">
        <f t="shared" si="91"/>
        <v>913.68</v>
      </c>
      <c r="AI84" s="859"/>
      <c r="AJ84" s="859"/>
      <c r="AK84" s="863">
        <f t="shared" si="80"/>
        <v>2.2261666666666664</v>
      </c>
      <c r="AL84" s="863"/>
      <c r="AM84" s="863">
        <f t="shared" si="81"/>
        <v>0.39466666666666667</v>
      </c>
      <c r="AN84" s="863"/>
      <c r="AO84" s="863"/>
      <c r="AP84" s="859">
        <f t="shared" si="94"/>
        <v>2790.2772999999997</v>
      </c>
      <c r="AQ84" s="859"/>
      <c r="AR84" s="859">
        <f t="shared" si="95"/>
        <v>360.59904</v>
      </c>
      <c r="AS84" s="859"/>
      <c r="AT84" s="859"/>
      <c r="AU84" s="861">
        <f t="shared" si="82"/>
        <v>202.60264531893003</v>
      </c>
    </row>
    <row r="85" spans="1:47" ht="15.75" thickBot="1">
      <c r="A85" s="858"/>
      <c r="B85" s="858"/>
      <c r="C85" s="858"/>
      <c r="D85" s="859"/>
      <c r="E85" s="859"/>
      <c r="F85" s="859"/>
      <c r="G85" s="858"/>
      <c r="H85" s="859"/>
      <c r="I85" s="859"/>
      <c r="J85" s="859"/>
      <c r="K85" s="792"/>
      <c r="L85" s="858"/>
      <c r="M85" s="858"/>
      <c r="N85" s="858"/>
      <c r="O85" s="858"/>
      <c r="P85" s="858"/>
      <c r="Q85" s="858"/>
      <c r="R85" s="858"/>
      <c r="S85" s="858"/>
      <c r="T85" s="858"/>
      <c r="U85" s="858"/>
      <c r="V85" s="861"/>
      <c r="W85" s="861"/>
      <c r="X85" s="861"/>
      <c r="Y85" s="861"/>
      <c r="Z85" s="861"/>
      <c r="AA85" s="859"/>
      <c r="AB85" s="859"/>
      <c r="AC85" s="858"/>
      <c r="AD85" s="862"/>
      <c r="AE85" s="862"/>
      <c r="AF85" s="859"/>
      <c r="AG85" s="859"/>
      <c r="AH85" s="859"/>
      <c r="AI85" s="859"/>
      <c r="AJ85" s="859"/>
      <c r="AK85" s="863"/>
      <c r="AL85" s="863"/>
      <c r="AM85" s="863"/>
      <c r="AN85" s="863"/>
      <c r="AO85" s="863"/>
      <c r="AP85" s="859"/>
      <c r="AQ85" s="859"/>
      <c r="AR85" s="859"/>
      <c r="AS85" s="859"/>
      <c r="AT85" s="859"/>
      <c r="AU85" s="861"/>
    </row>
    <row r="86" spans="1:47" ht="15.75" thickBot="1">
      <c r="A86" s="792"/>
      <c r="B86" s="792"/>
      <c r="C86" s="792"/>
      <c r="D86" s="794"/>
      <c r="E86" s="794"/>
      <c r="F86" s="794"/>
      <c r="G86" s="792"/>
      <c r="H86" s="792"/>
      <c r="I86" s="794"/>
      <c r="J86" s="794"/>
      <c r="K86" s="792"/>
      <c r="L86" s="792"/>
      <c r="M86" s="792"/>
      <c r="N86" s="792"/>
      <c r="O86" s="792"/>
      <c r="P86" s="792"/>
      <c r="Q86" s="792"/>
      <c r="R86" s="792"/>
      <c r="S86" s="792"/>
      <c r="T86" s="792"/>
      <c r="U86" s="792"/>
      <c r="V86" s="795"/>
      <c r="W86" s="795"/>
      <c r="X86" s="795"/>
      <c r="Y86" s="795"/>
      <c r="Z86" s="795"/>
      <c r="AA86" s="794"/>
      <c r="AB86" s="794"/>
      <c r="AC86" s="792"/>
      <c r="AD86" s="896"/>
      <c r="AE86" s="896"/>
      <c r="AF86" s="794"/>
      <c r="AG86" s="794"/>
      <c r="AH86" s="794"/>
      <c r="AI86" s="794"/>
      <c r="AJ86" s="794"/>
      <c r="AK86" s="897"/>
      <c r="AL86" s="897"/>
      <c r="AM86" s="897"/>
      <c r="AN86" s="897"/>
      <c r="AO86" s="897"/>
      <c r="AP86" s="794"/>
      <c r="AQ86" s="794"/>
      <c r="AR86" s="794"/>
      <c r="AS86" s="794"/>
      <c r="AT86" s="794"/>
      <c r="AU86" s="795"/>
    </row>
    <row r="87" spans="1:47">
      <c r="A87" s="796" t="s">
        <v>66</v>
      </c>
      <c r="B87" s="797" t="s">
        <v>983</v>
      </c>
      <c r="C87" s="797"/>
      <c r="D87" s="798" t="s">
        <v>984</v>
      </c>
      <c r="E87" s="798"/>
      <c r="F87" s="798"/>
      <c r="G87" s="799" t="s">
        <v>985</v>
      </c>
      <c r="H87" s="799" t="s">
        <v>986</v>
      </c>
      <c r="I87" s="798" t="s">
        <v>392</v>
      </c>
      <c r="J87" s="800" t="s">
        <v>377</v>
      </c>
      <c r="K87" s="792"/>
      <c r="L87" s="801" t="s">
        <v>987</v>
      </c>
      <c r="M87" s="802"/>
      <c r="N87" s="803" t="s">
        <v>988</v>
      </c>
      <c r="O87" s="803"/>
      <c r="P87" s="803"/>
      <c r="Q87" s="803" t="s">
        <v>989</v>
      </c>
      <c r="R87" s="803"/>
      <c r="S87" s="803"/>
      <c r="T87" s="804"/>
      <c r="U87" s="805"/>
      <c r="V87" s="806" t="s">
        <v>990</v>
      </c>
      <c r="W87" s="806"/>
      <c r="X87" s="806"/>
      <c r="Y87" s="806"/>
      <c r="Z87" s="806"/>
      <c r="AA87" s="807" t="s">
        <v>991</v>
      </c>
      <c r="AB87" s="808"/>
      <c r="AC87" s="809" t="s">
        <v>1030</v>
      </c>
      <c r="AD87" s="809"/>
      <c r="AE87" s="809"/>
      <c r="AF87" s="810" t="s">
        <v>993</v>
      </c>
      <c r="AG87" s="811"/>
      <c r="AH87" s="798" t="s">
        <v>994</v>
      </c>
      <c r="AI87" s="798"/>
      <c r="AJ87" s="798"/>
      <c r="AK87" s="812" t="s">
        <v>995</v>
      </c>
      <c r="AL87" s="813"/>
      <c r="AM87" s="814" t="s">
        <v>996</v>
      </c>
      <c r="AN87" s="814"/>
      <c r="AO87" s="814"/>
      <c r="AP87" s="798" t="s">
        <v>997</v>
      </c>
      <c r="AQ87" s="798"/>
      <c r="AR87" s="798"/>
      <c r="AS87" s="798"/>
      <c r="AT87" s="798"/>
      <c r="AU87" s="815" t="s">
        <v>998</v>
      </c>
    </row>
    <row r="88" spans="1:47" ht="15.75" thickBot="1">
      <c r="A88" s="816"/>
      <c r="B88" s="817" t="s">
        <v>372</v>
      </c>
      <c r="C88" s="817" t="s">
        <v>372</v>
      </c>
      <c r="D88" s="818" t="s">
        <v>999</v>
      </c>
      <c r="E88" s="818" t="s">
        <v>1000</v>
      </c>
      <c r="F88" s="818" t="s">
        <v>1001</v>
      </c>
      <c r="G88" s="819" t="s">
        <v>1002</v>
      </c>
      <c r="H88" s="819" t="s">
        <v>1003</v>
      </c>
      <c r="I88" s="818"/>
      <c r="J88" s="820"/>
      <c r="K88" s="792"/>
      <c r="L88" s="821" t="s">
        <v>1006</v>
      </c>
      <c r="M88" s="822"/>
      <c r="N88" s="819" t="s">
        <v>1004</v>
      </c>
      <c r="O88" s="819" t="s">
        <v>1005</v>
      </c>
      <c r="P88" s="819"/>
      <c r="Q88" s="819" t="s">
        <v>1001</v>
      </c>
      <c r="R88" s="819" t="s">
        <v>1000</v>
      </c>
      <c r="S88" s="819" t="s">
        <v>1001</v>
      </c>
      <c r="T88" s="823" t="s">
        <v>1006</v>
      </c>
      <c r="U88" s="824"/>
      <c r="V88" s="825" t="s">
        <v>1007</v>
      </c>
      <c r="W88" s="825"/>
      <c r="X88" s="825"/>
      <c r="Y88" s="825" t="s">
        <v>1005</v>
      </c>
      <c r="Z88" s="825"/>
      <c r="AA88" s="826" t="s">
        <v>1008</v>
      </c>
      <c r="AB88" s="827"/>
      <c r="AC88" s="819" t="s">
        <v>1004</v>
      </c>
      <c r="AD88" s="828" t="s">
        <v>1005</v>
      </c>
      <c r="AE88" s="828"/>
      <c r="AF88" s="829" t="s">
        <v>1006</v>
      </c>
      <c r="AG88" s="830"/>
      <c r="AH88" s="818" t="s">
        <v>1004</v>
      </c>
      <c r="AI88" s="818" t="s">
        <v>1005</v>
      </c>
      <c r="AJ88" s="818"/>
      <c r="AK88" s="831" t="s">
        <v>1009</v>
      </c>
      <c r="AL88" s="832"/>
      <c r="AM88" s="833"/>
      <c r="AN88" s="833"/>
      <c r="AO88" s="833"/>
      <c r="AP88" s="818" t="s">
        <v>1006</v>
      </c>
      <c r="AQ88" s="818"/>
      <c r="AR88" s="818" t="s">
        <v>1010</v>
      </c>
      <c r="AS88" s="818"/>
      <c r="AT88" s="818"/>
      <c r="AU88" s="834" t="s">
        <v>1011</v>
      </c>
    </row>
    <row r="89" spans="1:47" ht="15.75" thickTop="1">
      <c r="A89" s="816"/>
      <c r="B89" s="817"/>
      <c r="C89" s="817"/>
      <c r="D89" s="818"/>
      <c r="E89" s="818"/>
      <c r="F89" s="818"/>
      <c r="G89" s="819"/>
      <c r="H89" s="819"/>
      <c r="I89" s="818"/>
      <c r="J89" s="820"/>
      <c r="K89" s="792"/>
      <c r="L89" s="835"/>
      <c r="M89" s="836"/>
      <c r="N89" s="819"/>
      <c r="O89" s="837" t="s">
        <v>494</v>
      </c>
      <c r="P89" s="837" t="s">
        <v>1012</v>
      </c>
      <c r="Q89" s="819"/>
      <c r="R89" s="819"/>
      <c r="S89" s="819"/>
      <c r="T89" s="838"/>
      <c r="U89" s="839"/>
      <c r="V89" s="840" t="s">
        <v>1001</v>
      </c>
      <c r="W89" s="840" t="s">
        <v>1000</v>
      </c>
      <c r="X89" s="840" t="s">
        <v>1001</v>
      </c>
      <c r="Y89" s="840" t="s">
        <v>494</v>
      </c>
      <c r="Z89" s="840" t="s">
        <v>1012</v>
      </c>
      <c r="AA89" s="841" t="s">
        <v>1013</v>
      </c>
      <c r="AB89" s="842"/>
      <c r="AC89" s="819"/>
      <c r="AD89" s="843" t="s">
        <v>494</v>
      </c>
      <c r="AE89" s="843" t="s">
        <v>1012</v>
      </c>
      <c r="AF89" s="844"/>
      <c r="AG89" s="842"/>
      <c r="AH89" s="818"/>
      <c r="AI89" s="845" t="s">
        <v>494</v>
      </c>
      <c r="AJ89" s="845" t="s">
        <v>1012</v>
      </c>
      <c r="AK89" s="846" t="s">
        <v>1013</v>
      </c>
      <c r="AL89" s="847"/>
      <c r="AM89" s="833"/>
      <c r="AN89" s="833"/>
      <c r="AO89" s="833"/>
      <c r="AP89" s="818"/>
      <c r="AQ89" s="818"/>
      <c r="AR89" s="818"/>
      <c r="AS89" s="818"/>
      <c r="AT89" s="818"/>
      <c r="AU89" s="834"/>
    </row>
    <row r="90" spans="1:47" ht="15.75" thickBot="1">
      <c r="A90" s="848"/>
      <c r="B90" s="817"/>
      <c r="C90" s="817"/>
      <c r="D90" s="849" t="s">
        <v>151</v>
      </c>
      <c r="E90" s="849"/>
      <c r="F90" s="849"/>
      <c r="G90" s="849"/>
      <c r="H90" s="849"/>
      <c r="I90" s="850" t="s">
        <v>1014</v>
      </c>
      <c r="J90" s="851" t="s">
        <v>1015</v>
      </c>
      <c r="K90" s="792"/>
      <c r="L90" s="848" t="s">
        <v>1016</v>
      </c>
      <c r="M90" s="852"/>
      <c r="N90" s="852" t="s">
        <v>1016</v>
      </c>
      <c r="O90" s="852"/>
      <c r="P90" s="852"/>
      <c r="Q90" s="852" t="s">
        <v>151</v>
      </c>
      <c r="R90" s="852"/>
      <c r="S90" s="852"/>
      <c r="T90" s="823" t="s">
        <v>34</v>
      </c>
      <c r="U90" s="853"/>
      <c r="V90" s="854" t="s">
        <v>34</v>
      </c>
      <c r="W90" s="854"/>
      <c r="X90" s="854"/>
      <c r="Y90" s="854"/>
      <c r="Z90" s="854"/>
      <c r="AA90" s="849" t="s">
        <v>151</v>
      </c>
      <c r="AB90" s="849"/>
      <c r="AC90" s="852" t="s">
        <v>151</v>
      </c>
      <c r="AD90" s="852"/>
      <c r="AE90" s="852"/>
      <c r="AF90" s="849" t="s">
        <v>151</v>
      </c>
      <c r="AG90" s="849"/>
      <c r="AH90" s="849" t="s">
        <v>151</v>
      </c>
      <c r="AI90" s="849"/>
      <c r="AJ90" s="849"/>
      <c r="AK90" s="855" t="s">
        <v>1017</v>
      </c>
      <c r="AL90" s="855"/>
      <c r="AM90" s="855"/>
      <c r="AN90" s="855"/>
      <c r="AO90" s="855"/>
      <c r="AP90" s="849" t="s">
        <v>7</v>
      </c>
      <c r="AQ90" s="849"/>
      <c r="AR90" s="849"/>
      <c r="AS90" s="849"/>
      <c r="AT90" s="849"/>
      <c r="AU90" s="856"/>
    </row>
    <row r="91" spans="1:47" ht="15.75" thickBot="1">
      <c r="A91" s="857" t="s">
        <v>1035</v>
      </c>
      <c r="B91" s="858"/>
      <c r="C91" s="858"/>
      <c r="D91" s="859"/>
      <c r="E91" s="859"/>
      <c r="F91" s="859"/>
      <c r="G91" s="858"/>
      <c r="H91" s="859"/>
      <c r="I91" s="859"/>
      <c r="J91" s="859"/>
      <c r="K91" s="792"/>
      <c r="L91" s="860" t="str">
        <f>A91</f>
        <v>Kolom Lantai 5</v>
      </c>
      <c r="M91" s="858"/>
      <c r="N91" s="858"/>
      <c r="O91" s="858"/>
      <c r="P91" s="858"/>
      <c r="Q91" s="858"/>
      <c r="R91" s="858"/>
      <c r="S91" s="858"/>
      <c r="T91" s="858"/>
      <c r="U91" s="858"/>
      <c r="V91" s="861"/>
      <c r="W91" s="861"/>
      <c r="X91" s="861"/>
      <c r="Y91" s="861"/>
      <c r="Z91" s="861"/>
      <c r="AA91" s="859"/>
      <c r="AB91" s="859"/>
      <c r="AC91" s="858"/>
      <c r="AD91" s="862"/>
      <c r="AE91" s="862"/>
      <c r="AF91" s="859"/>
      <c r="AG91" s="859"/>
      <c r="AH91" s="859"/>
      <c r="AI91" s="859"/>
      <c r="AJ91" s="859"/>
      <c r="AK91" s="863"/>
      <c r="AL91" s="863"/>
      <c r="AM91" s="863"/>
      <c r="AN91" s="863"/>
      <c r="AO91" s="863"/>
      <c r="AP91" s="859"/>
      <c r="AQ91" s="859"/>
      <c r="AR91" s="859"/>
      <c r="AS91" s="859"/>
      <c r="AT91" s="859"/>
      <c r="AU91" s="861"/>
    </row>
    <row r="92" spans="1:47" ht="15.75" thickBot="1">
      <c r="A92" s="858">
        <v>1</v>
      </c>
      <c r="B92" s="858" t="s">
        <v>1019</v>
      </c>
      <c r="C92" s="858">
        <v>17</v>
      </c>
      <c r="D92" s="859">
        <v>0.6</v>
      </c>
      <c r="E92" s="859">
        <f>D92</f>
        <v>0.6</v>
      </c>
      <c r="F92" s="859">
        <v>3</v>
      </c>
      <c r="G92" s="858">
        <v>0.12</v>
      </c>
      <c r="H92" s="859">
        <f>F92-G92</f>
        <v>2.88</v>
      </c>
      <c r="I92" s="859">
        <f>H92*E92*D92*C92</f>
        <v>17.625599999999999</v>
      </c>
      <c r="J92" s="859">
        <f>(D92+D92+E92+E92)*H92*C92</f>
        <v>117.504</v>
      </c>
      <c r="K92" s="792"/>
      <c r="L92" s="858">
        <v>25</v>
      </c>
      <c r="M92" s="858"/>
      <c r="N92" s="858">
        <v>13</v>
      </c>
      <c r="O92" s="858"/>
      <c r="P92" s="858"/>
      <c r="Q92" s="858">
        <v>0.1</v>
      </c>
      <c r="R92" s="858">
        <v>0.15</v>
      </c>
      <c r="S92" s="858">
        <v>0.1</v>
      </c>
      <c r="T92" s="858">
        <v>16</v>
      </c>
      <c r="U92" s="858"/>
      <c r="V92" s="861">
        <f t="shared" ref="V92:V95" si="96">(H92/4)/Q92+1</f>
        <v>8.1999999999999993</v>
      </c>
      <c r="W92" s="861">
        <f t="shared" ref="W92:W95" si="97">(H92/2)/R92+1</f>
        <v>10.6</v>
      </c>
      <c r="X92" s="861">
        <f t="shared" ref="X92:X95" si="98">(H92/4)/S92+1</f>
        <v>8.1999999999999993</v>
      </c>
      <c r="Y92" s="861"/>
      <c r="Z92" s="861"/>
      <c r="AA92" s="859">
        <f>(H92)+(2*6*L92/1000)+(50*L92/1000)+(0.12)</f>
        <v>4.55</v>
      </c>
      <c r="AB92" s="859"/>
      <c r="AC92" s="858">
        <f>(2*D92)+(2*E92)+(2*6*N92/1000)-(8*0.03)</f>
        <v>2.3159999999999998</v>
      </c>
      <c r="AD92" s="862"/>
      <c r="AE92" s="862"/>
      <c r="AF92" s="859">
        <f>AA92*T92*C92</f>
        <v>1237.5999999999999</v>
      </c>
      <c r="AG92" s="859"/>
      <c r="AH92" s="859">
        <f>AC92*(V92+W92+X92)*C92</f>
        <v>1063.0439999999999</v>
      </c>
      <c r="AI92" s="859"/>
      <c r="AJ92" s="859"/>
      <c r="AK92" s="863">
        <f t="shared" ref="AK92:AK95" si="99">L92*L92*0.074/12</f>
        <v>3.8541666666666665</v>
      </c>
      <c r="AL92" s="863"/>
      <c r="AM92" s="863">
        <f t="shared" ref="AM92:AM95" si="100">N92*N92*0.074/12</f>
        <v>1.0421666666666667</v>
      </c>
      <c r="AN92" s="863"/>
      <c r="AO92" s="863"/>
      <c r="AP92" s="859">
        <f>AF92*AK92</f>
        <v>4769.9166666666661</v>
      </c>
      <c r="AQ92" s="859"/>
      <c r="AR92" s="859">
        <f>AH92*AM92</f>
        <v>1107.8690219999999</v>
      </c>
      <c r="AS92" s="859"/>
      <c r="AT92" s="859"/>
      <c r="AU92" s="861">
        <f t="shared" ref="AU92:AU95" si="101">SUM(AP92:AT92)/I92</f>
        <v>333.48003407921811</v>
      </c>
    </row>
    <row r="93" spans="1:47" ht="15.75" thickBot="1">
      <c r="A93" s="858">
        <v>2</v>
      </c>
      <c r="B93" s="858" t="s">
        <v>1020</v>
      </c>
      <c r="C93" s="858">
        <v>4</v>
      </c>
      <c r="D93" s="859">
        <v>1</v>
      </c>
      <c r="E93" s="859">
        <f>D93</f>
        <v>1</v>
      </c>
      <c r="F93" s="859">
        <v>3</v>
      </c>
      <c r="G93" s="858">
        <v>0.12</v>
      </c>
      <c r="H93" s="859">
        <f t="shared" ref="H93:H95" si="102">F93-G93</f>
        <v>2.88</v>
      </c>
      <c r="I93" s="859">
        <f t="shared" ref="I93:I95" si="103">H93*E93*D93*C93</f>
        <v>11.52</v>
      </c>
      <c r="J93" s="859">
        <f t="shared" ref="J93:J95" si="104">(D93+D93+E93+E93)*H93*C93</f>
        <v>46.08</v>
      </c>
      <c r="K93" s="792"/>
      <c r="L93" s="858">
        <v>25</v>
      </c>
      <c r="M93" s="858"/>
      <c r="N93" s="858">
        <v>13</v>
      </c>
      <c r="O93" s="858"/>
      <c r="P93" s="858"/>
      <c r="Q93" s="858">
        <v>0.1</v>
      </c>
      <c r="R93" s="858">
        <v>0.15</v>
      </c>
      <c r="S93" s="858">
        <v>0.1</v>
      </c>
      <c r="T93" s="858">
        <v>24</v>
      </c>
      <c r="U93" s="858"/>
      <c r="V93" s="861">
        <f t="shared" si="96"/>
        <v>8.1999999999999993</v>
      </c>
      <c r="W93" s="861">
        <f t="shared" si="97"/>
        <v>10.6</v>
      </c>
      <c r="X93" s="861">
        <f t="shared" si="98"/>
        <v>8.1999999999999993</v>
      </c>
      <c r="Y93" s="861"/>
      <c r="Z93" s="861"/>
      <c r="AA93" s="859">
        <f t="shared" ref="AA93:AA95" si="105">(H93)+(2*6*L93/1000)+(50*L93/1000)+(0.12)</f>
        <v>4.55</v>
      </c>
      <c r="AB93" s="859"/>
      <c r="AC93" s="858">
        <f t="shared" ref="AC93:AC95" si="106">(2*D93)+(2*E93)+(2*6*N93/1000)-(8*0.03)</f>
        <v>3.9159999999999995</v>
      </c>
      <c r="AD93" s="862"/>
      <c r="AE93" s="862"/>
      <c r="AF93" s="859">
        <f t="shared" ref="AF93:AF95" si="107">AA93*T93*C93</f>
        <v>436.79999999999995</v>
      </c>
      <c r="AG93" s="859"/>
      <c r="AH93" s="859">
        <f t="shared" ref="AH93:AH95" si="108">AC93*(V93+W93+X93)*C93</f>
        <v>422.92799999999988</v>
      </c>
      <c r="AI93" s="859"/>
      <c r="AJ93" s="859"/>
      <c r="AK93" s="863">
        <f t="shared" si="99"/>
        <v>3.8541666666666665</v>
      </c>
      <c r="AL93" s="863"/>
      <c r="AM93" s="863">
        <f t="shared" si="100"/>
        <v>1.0421666666666667</v>
      </c>
      <c r="AN93" s="863"/>
      <c r="AO93" s="863"/>
      <c r="AP93" s="859">
        <f t="shared" ref="AP93" si="109">AF93*AK93</f>
        <v>1683.4999999999998</v>
      </c>
      <c r="AQ93" s="859"/>
      <c r="AR93" s="859">
        <f t="shared" ref="AR93" si="110">AH93*AM93</f>
        <v>440.76146399999988</v>
      </c>
      <c r="AS93" s="859"/>
      <c r="AT93" s="859"/>
      <c r="AU93" s="861">
        <f t="shared" si="101"/>
        <v>184.39769652777775</v>
      </c>
    </row>
    <row r="94" spans="1:47" ht="15.75" thickBot="1">
      <c r="A94" s="858">
        <v>3</v>
      </c>
      <c r="B94" s="858" t="s">
        <v>1023</v>
      </c>
      <c r="C94" s="858">
        <v>4</v>
      </c>
      <c r="D94" s="859">
        <v>0.6</v>
      </c>
      <c r="E94" s="859">
        <f>D94</f>
        <v>0.6</v>
      </c>
      <c r="F94" s="859">
        <v>3</v>
      </c>
      <c r="G94" s="858">
        <v>0.12</v>
      </c>
      <c r="H94" s="859">
        <f t="shared" si="102"/>
        <v>2.88</v>
      </c>
      <c r="I94" s="859">
        <f t="shared" si="103"/>
        <v>4.1471999999999998</v>
      </c>
      <c r="J94" s="859">
        <f t="shared" si="104"/>
        <v>27.648</v>
      </c>
      <c r="K94" s="792"/>
      <c r="L94" s="858">
        <v>25</v>
      </c>
      <c r="M94" s="858"/>
      <c r="N94" s="858">
        <v>13</v>
      </c>
      <c r="O94" s="858"/>
      <c r="P94" s="858"/>
      <c r="Q94" s="858">
        <v>0.1</v>
      </c>
      <c r="R94" s="858">
        <v>0.15</v>
      </c>
      <c r="S94" s="858">
        <v>0.1</v>
      </c>
      <c r="T94" s="858">
        <v>16</v>
      </c>
      <c r="U94" s="858"/>
      <c r="V94" s="861">
        <f t="shared" si="96"/>
        <v>8.1999999999999993</v>
      </c>
      <c r="W94" s="861">
        <f t="shared" si="97"/>
        <v>10.6</v>
      </c>
      <c r="X94" s="861">
        <f t="shared" si="98"/>
        <v>8.1999999999999993</v>
      </c>
      <c r="Y94" s="861"/>
      <c r="Z94" s="861"/>
      <c r="AA94" s="859">
        <f t="shared" si="105"/>
        <v>4.55</v>
      </c>
      <c r="AB94" s="859"/>
      <c r="AC94" s="858">
        <f t="shared" si="106"/>
        <v>2.3159999999999998</v>
      </c>
      <c r="AD94" s="862"/>
      <c r="AE94" s="862"/>
      <c r="AF94" s="859">
        <f t="shared" si="107"/>
        <v>291.2</v>
      </c>
      <c r="AG94" s="859"/>
      <c r="AH94" s="859">
        <f t="shared" si="108"/>
        <v>250.12799999999996</v>
      </c>
      <c r="AI94" s="859"/>
      <c r="AJ94" s="859"/>
      <c r="AK94" s="863">
        <f t="shared" si="99"/>
        <v>3.8541666666666665</v>
      </c>
      <c r="AL94" s="863"/>
      <c r="AM94" s="863">
        <f t="shared" si="100"/>
        <v>1.0421666666666667</v>
      </c>
      <c r="AN94" s="863"/>
      <c r="AO94" s="863"/>
      <c r="AP94" s="859">
        <f>AF94*AK94</f>
        <v>1122.3333333333333</v>
      </c>
      <c r="AQ94" s="859"/>
      <c r="AR94" s="859">
        <f>AH94*AM94</f>
        <v>260.67506399999996</v>
      </c>
      <c r="AS94" s="859"/>
      <c r="AT94" s="859"/>
      <c r="AU94" s="861">
        <f t="shared" si="101"/>
        <v>333.48003407921811</v>
      </c>
    </row>
    <row r="95" spans="1:47" ht="15.75" thickBot="1">
      <c r="A95" s="858">
        <v>4</v>
      </c>
      <c r="B95" s="858" t="s">
        <v>1024</v>
      </c>
      <c r="C95" s="858">
        <v>2</v>
      </c>
      <c r="D95" s="859">
        <v>1.2</v>
      </c>
      <c r="E95" s="859">
        <f>D95</f>
        <v>1.2</v>
      </c>
      <c r="F95" s="859">
        <v>3</v>
      </c>
      <c r="G95" s="858">
        <v>0.12</v>
      </c>
      <c r="H95" s="859">
        <f t="shared" si="102"/>
        <v>2.88</v>
      </c>
      <c r="I95" s="859">
        <f t="shared" si="103"/>
        <v>8.2943999999999996</v>
      </c>
      <c r="J95" s="859">
        <f t="shared" si="104"/>
        <v>27.648</v>
      </c>
      <c r="K95" s="792"/>
      <c r="L95" s="858">
        <v>25</v>
      </c>
      <c r="M95" s="858"/>
      <c r="N95" s="858">
        <v>13</v>
      </c>
      <c r="O95" s="858"/>
      <c r="P95" s="858"/>
      <c r="Q95" s="858">
        <v>0.1</v>
      </c>
      <c r="R95" s="858">
        <v>0.15</v>
      </c>
      <c r="S95" s="858">
        <v>0.1</v>
      </c>
      <c r="T95" s="858">
        <v>28</v>
      </c>
      <c r="U95" s="858"/>
      <c r="V95" s="861">
        <f t="shared" si="96"/>
        <v>8.1999999999999993</v>
      </c>
      <c r="W95" s="861">
        <f t="shared" si="97"/>
        <v>10.6</v>
      </c>
      <c r="X95" s="861">
        <f t="shared" si="98"/>
        <v>8.1999999999999993</v>
      </c>
      <c r="Y95" s="861"/>
      <c r="Z95" s="861"/>
      <c r="AA95" s="859">
        <f t="shared" si="105"/>
        <v>4.55</v>
      </c>
      <c r="AB95" s="859"/>
      <c r="AC95" s="858">
        <f t="shared" si="106"/>
        <v>4.7159999999999993</v>
      </c>
      <c r="AD95" s="862"/>
      <c r="AE95" s="862"/>
      <c r="AF95" s="859">
        <f t="shared" si="107"/>
        <v>254.79999999999998</v>
      </c>
      <c r="AG95" s="859"/>
      <c r="AH95" s="859">
        <f t="shared" si="108"/>
        <v>254.66399999999993</v>
      </c>
      <c r="AI95" s="859"/>
      <c r="AJ95" s="859"/>
      <c r="AK95" s="863">
        <f t="shared" si="99"/>
        <v>3.8541666666666665</v>
      </c>
      <c r="AL95" s="863"/>
      <c r="AM95" s="863">
        <f t="shared" si="100"/>
        <v>1.0421666666666667</v>
      </c>
      <c r="AN95" s="863"/>
      <c r="AO95" s="863"/>
      <c r="AP95" s="859">
        <f>AF95*AK95</f>
        <v>982.04166666666652</v>
      </c>
      <c r="AQ95" s="859"/>
      <c r="AR95" s="859">
        <f>AH95*AM95</f>
        <v>265.40233199999994</v>
      </c>
      <c r="AS95" s="859"/>
      <c r="AT95" s="859"/>
      <c r="AU95" s="861">
        <f t="shared" si="101"/>
        <v>150.39592962319958</v>
      </c>
    </row>
    <row r="96" spans="1:47" ht="15.75" thickBot="1">
      <c r="A96" s="875"/>
      <c r="B96" s="898"/>
      <c r="C96" s="898"/>
      <c r="D96" s="899"/>
      <c r="E96" s="899"/>
      <c r="F96" s="877"/>
      <c r="G96" s="876"/>
      <c r="H96" s="899"/>
      <c r="I96" s="899"/>
      <c r="J96" s="900"/>
      <c r="K96" s="792"/>
      <c r="L96" s="858"/>
      <c r="M96" s="858"/>
      <c r="N96" s="858"/>
      <c r="O96" s="858"/>
      <c r="P96" s="858"/>
      <c r="Q96" s="858"/>
      <c r="R96" s="858"/>
      <c r="S96" s="858"/>
      <c r="T96" s="858"/>
      <c r="U96" s="858"/>
      <c r="V96" s="861"/>
      <c r="W96" s="861"/>
      <c r="X96" s="861"/>
      <c r="Y96" s="861"/>
      <c r="Z96" s="861"/>
      <c r="AA96" s="859"/>
      <c r="AB96" s="859"/>
      <c r="AC96" s="858"/>
      <c r="AD96" s="862"/>
      <c r="AE96" s="862"/>
      <c r="AF96" s="859"/>
      <c r="AG96" s="859"/>
      <c r="AH96" s="859"/>
      <c r="AI96" s="859"/>
      <c r="AJ96" s="859"/>
      <c r="AK96" s="863"/>
      <c r="AL96" s="863"/>
      <c r="AM96" s="863"/>
      <c r="AN96" s="863"/>
      <c r="AO96" s="863"/>
      <c r="AP96" s="859"/>
      <c r="AQ96" s="859"/>
      <c r="AR96" s="859"/>
      <c r="AS96" s="859"/>
      <c r="AT96" s="859"/>
      <c r="AU96" s="861"/>
    </row>
    <row r="97" spans="1:47">
      <c r="A97" s="796" t="s">
        <v>66</v>
      </c>
      <c r="B97" s="797" t="s">
        <v>983</v>
      </c>
      <c r="C97" s="797"/>
      <c r="D97" s="798" t="s">
        <v>984</v>
      </c>
      <c r="E97" s="798"/>
      <c r="F97" s="798"/>
      <c r="G97" s="799" t="s">
        <v>985</v>
      </c>
      <c r="H97" s="799" t="s">
        <v>986</v>
      </c>
      <c r="I97" s="798" t="s">
        <v>392</v>
      </c>
      <c r="J97" s="800" t="s">
        <v>377</v>
      </c>
      <c r="K97" s="792"/>
      <c r="L97" s="801" t="s">
        <v>987</v>
      </c>
      <c r="M97" s="802"/>
      <c r="N97" s="803" t="s">
        <v>988</v>
      </c>
      <c r="O97" s="803"/>
      <c r="P97" s="803"/>
      <c r="Q97" s="803" t="s">
        <v>989</v>
      </c>
      <c r="R97" s="803"/>
      <c r="S97" s="803"/>
      <c r="T97" s="804"/>
      <c r="U97" s="805"/>
      <c r="V97" s="806" t="s">
        <v>990</v>
      </c>
      <c r="W97" s="806"/>
      <c r="X97" s="806"/>
      <c r="Y97" s="806"/>
      <c r="Z97" s="806"/>
      <c r="AA97" s="807" t="s">
        <v>991</v>
      </c>
      <c r="AB97" s="808"/>
      <c r="AC97" s="809" t="s">
        <v>1030</v>
      </c>
      <c r="AD97" s="809"/>
      <c r="AE97" s="809"/>
      <c r="AF97" s="810" t="s">
        <v>993</v>
      </c>
      <c r="AG97" s="811"/>
      <c r="AH97" s="798" t="s">
        <v>994</v>
      </c>
      <c r="AI97" s="798"/>
      <c r="AJ97" s="798"/>
      <c r="AK97" s="812" t="s">
        <v>995</v>
      </c>
      <c r="AL97" s="813"/>
      <c r="AM97" s="814" t="s">
        <v>996</v>
      </c>
      <c r="AN97" s="814"/>
      <c r="AO97" s="814"/>
      <c r="AP97" s="798" t="s">
        <v>997</v>
      </c>
      <c r="AQ97" s="798"/>
      <c r="AR97" s="798"/>
      <c r="AS97" s="798"/>
      <c r="AT97" s="798"/>
      <c r="AU97" s="815" t="s">
        <v>998</v>
      </c>
    </row>
    <row r="98" spans="1:47" ht="15.75" thickBot="1">
      <c r="A98" s="816"/>
      <c r="B98" s="817" t="s">
        <v>372</v>
      </c>
      <c r="C98" s="817" t="s">
        <v>372</v>
      </c>
      <c r="D98" s="818" t="s">
        <v>999</v>
      </c>
      <c r="E98" s="818" t="s">
        <v>1000</v>
      </c>
      <c r="F98" s="818" t="s">
        <v>1001</v>
      </c>
      <c r="G98" s="819" t="s">
        <v>1002</v>
      </c>
      <c r="H98" s="819" t="s">
        <v>1003</v>
      </c>
      <c r="I98" s="818"/>
      <c r="J98" s="820"/>
      <c r="K98" s="792"/>
      <c r="L98" s="821" t="s">
        <v>1006</v>
      </c>
      <c r="M98" s="822"/>
      <c r="N98" s="819" t="s">
        <v>1004</v>
      </c>
      <c r="O98" s="819" t="s">
        <v>1005</v>
      </c>
      <c r="P98" s="819"/>
      <c r="Q98" s="819" t="s">
        <v>1001</v>
      </c>
      <c r="R98" s="819" t="s">
        <v>1000</v>
      </c>
      <c r="S98" s="819" t="s">
        <v>1001</v>
      </c>
      <c r="T98" s="823" t="s">
        <v>1006</v>
      </c>
      <c r="U98" s="824"/>
      <c r="V98" s="825" t="s">
        <v>1007</v>
      </c>
      <c r="W98" s="825"/>
      <c r="X98" s="825"/>
      <c r="Y98" s="825" t="s">
        <v>1005</v>
      </c>
      <c r="Z98" s="825"/>
      <c r="AA98" s="826" t="s">
        <v>1008</v>
      </c>
      <c r="AB98" s="827"/>
      <c r="AC98" s="819" t="s">
        <v>1004</v>
      </c>
      <c r="AD98" s="828" t="s">
        <v>1005</v>
      </c>
      <c r="AE98" s="828"/>
      <c r="AF98" s="829" t="s">
        <v>1006</v>
      </c>
      <c r="AG98" s="830"/>
      <c r="AH98" s="818" t="s">
        <v>1004</v>
      </c>
      <c r="AI98" s="818" t="s">
        <v>1005</v>
      </c>
      <c r="AJ98" s="818"/>
      <c r="AK98" s="831" t="s">
        <v>1009</v>
      </c>
      <c r="AL98" s="832"/>
      <c r="AM98" s="833"/>
      <c r="AN98" s="833"/>
      <c r="AO98" s="833"/>
      <c r="AP98" s="818" t="s">
        <v>1006</v>
      </c>
      <c r="AQ98" s="818"/>
      <c r="AR98" s="818" t="s">
        <v>1010</v>
      </c>
      <c r="AS98" s="818"/>
      <c r="AT98" s="818"/>
      <c r="AU98" s="834" t="s">
        <v>1011</v>
      </c>
    </row>
    <row r="99" spans="1:47" ht="15.75" thickTop="1">
      <c r="A99" s="816"/>
      <c r="B99" s="817"/>
      <c r="C99" s="817"/>
      <c r="D99" s="818"/>
      <c r="E99" s="818"/>
      <c r="F99" s="818"/>
      <c r="G99" s="819"/>
      <c r="H99" s="819"/>
      <c r="I99" s="818"/>
      <c r="J99" s="820"/>
      <c r="K99" s="792"/>
      <c r="L99" s="835"/>
      <c r="M99" s="836"/>
      <c r="N99" s="819"/>
      <c r="O99" s="837" t="s">
        <v>494</v>
      </c>
      <c r="P99" s="837" t="s">
        <v>1012</v>
      </c>
      <c r="Q99" s="819"/>
      <c r="R99" s="819"/>
      <c r="S99" s="819"/>
      <c r="T99" s="838"/>
      <c r="U99" s="839"/>
      <c r="V99" s="840" t="s">
        <v>1001</v>
      </c>
      <c r="W99" s="840" t="s">
        <v>1000</v>
      </c>
      <c r="X99" s="840" t="s">
        <v>1001</v>
      </c>
      <c r="Y99" s="840" t="s">
        <v>494</v>
      </c>
      <c r="Z99" s="840" t="s">
        <v>1012</v>
      </c>
      <c r="AA99" s="841" t="s">
        <v>1013</v>
      </c>
      <c r="AB99" s="842"/>
      <c r="AC99" s="819"/>
      <c r="AD99" s="843" t="s">
        <v>494</v>
      </c>
      <c r="AE99" s="843" t="s">
        <v>1012</v>
      </c>
      <c r="AF99" s="844"/>
      <c r="AG99" s="842"/>
      <c r="AH99" s="818"/>
      <c r="AI99" s="845" t="s">
        <v>494</v>
      </c>
      <c r="AJ99" s="845" t="s">
        <v>1012</v>
      </c>
      <c r="AK99" s="846" t="s">
        <v>1013</v>
      </c>
      <c r="AL99" s="847"/>
      <c r="AM99" s="833"/>
      <c r="AN99" s="833"/>
      <c r="AO99" s="833"/>
      <c r="AP99" s="818"/>
      <c r="AQ99" s="818"/>
      <c r="AR99" s="818"/>
      <c r="AS99" s="818"/>
      <c r="AT99" s="818"/>
      <c r="AU99" s="834"/>
    </row>
    <row r="100" spans="1:47" ht="15.75" thickBot="1">
      <c r="A100" s="848"/>
      <c r="B100" s="817"/>
      <c r="C100" s="817"/>
      <c r="D100" s="849" t="s">
        <v>151</v>
      </c>
      <c r="E100" s="849"/>
      <c r="F100" s="849"/>
      <c r="G100" s="849"/>
      <c r="H100" s="849"/>
      <c r="I100" s="850" t="s">
        <v>1014</v>
      </c>
      <c r="J100" s="851" t="s">
        <v>1015</v>
      </c>
      <c r="K100" s="792"/>
      <c r="L100" s="848" t="s">
        <v>1016</v>
      </c>
      <c r="M100" s="852"/>
      <c r="N100" s="852" t="s">
        <v>1016</v>
      </c>
      <c r="O100" s="852"/>
      <c r="P100" s="852"/>
      <c r="Q100" s="852" t="s">
        <v>151</v>
      </c>
      <c r="R100" s="852"/>
      <c r="S100" s="852"/>
      <c r="T100" s="823" t="s">
        <v>34</v>
      </c>
      <c r="U100" s="853"/>
      <c r="V100" s="854" t="s">
        <v>34</v>
      </c>
      <c r="W100" s="854"/>
      <c r="X100" s="854"/>
      <c r="Y100" s="854"/>
      <c r="Z100" s="854"/>
      <c r="AA100" s="849" t="s">
        <v>151</v>
      </c>
      <c r="AB100" s="849"/>
      <c r="AC100" s="852" t="s">
        <v>151</v>
      </c>
      <c r="AD100" s="852"/>
      <c r="AE100" s="852"/>
      <c r="AF100" s="849" t="s">
        <v>151</v>
      </c>
      <c r="AG100" s="849"/>
      <c r="AH100" s="849" t="s">
        <v>151</v>
      </c>
      <c r="AI100" s="849"/>
      <c r="AJ100" s="849"/>
      <c r="AK100" s="855" t="s">
        <v>1017</v>
      </c>
      <c r="AL100" s="855"/>
      <c r="AM100" s="855"/>
      <c r="AN100" s="855"/>
      <c r="AO100" s="855"/>
      <c r="AP100" s="849" t="s">
        <v>7</v>
      </c>
      <c r="AQ100" s="849"/>
      <c r="AR100" s="849"/>
      <c r="AS100" s="849"/>
      <c r="AT100" s="849"/>
      <c r="AU100" s="856"/>
    </row>
    <row r="101" spans="1:47" ht="15.75" thickBot="1">
      <c r="A101" s="857" t="s">
        <v>1036</v>
      </c>
      <c r="B101" s="858"/>
      <c r="C101" s="858"/>
      <c r="D101" s="859"/>
      <c r="E101" s="859"/>
      <c r="F101" s="859"/>
      <c r="G101" s="858"/>
      <c r="H101" s="859"/>
      <c r="I101" s="859"/>
      <c r="J101" s="859"/>
      <c r="K101" s="792"/>
      <c r="L101" s="860" t="str">
        <f>A101</f>
        <v>Kolom Lantai 6</v>
      </c>
      <c r="M101" s="858"/>
      <c r="N101" s="858"/>
      <c r="O101" s="858"/>
      <c r="P101" s="858"/>
      <c r="Q101" s="858"/>
      <c r="R101" s="858"/>
      <c r="S101" s="858"/>
      <c r="T101" s="858"/>
      <c r="U101" s="858"/>
      <c r="V101" s="861"/>
      <c r="W101" s="861"/>
      <c r="X101" s="861"/>
      <c r="Y101" s="861"/>
      <c r="Z101" s="861"/>
      <c r="AA101" s="859"/>
      <c r="AB101" s="859"/>
      <c r="AC101" s="858"/>
      <c r="AD101" s="862"/>
      <c r="AE101" s="862"/>
      <c r="AF101" s="859"/>
      <c r="AG101" s="859"/>
      <c r="AH101" s="859"/>
      <c r="AI101" s="859"/>
      <c r="AJ101" s="859"/>
      <c r="AK101" s="863"/>
      <c r="AL101" s="863"/>
      <c r="AM101" s="863"/>
      <c r="AN101" s="863"/>
      <c r="AO101" s="863"/>
      <c r="AP101" s="859"/>
      <c r="AQ101" s="859"/>
      <c r="AR101" s="859"/>
      <c r="AS101" s="859"/>
      <c r="AT101" s="859"/>
      <c r="AU101" s="861"/>
    </row>
    <row r="102" spans="1:47" ht="15.75" thickBot="1">
      <c r="A102" s="858">
        <v>1</v>
      </c>
      <c r="B102" s="858" t="s">
        <v>1019</v>
      </c>
      <c r="C102" s="858">
        <v>17</v>
      </c>
      <c r="D102" s="859">
        <v>0.6</v>
      </c>
      <c r="E102" s="859">
        <f>D102</f>
        <v>0.6</v>
      </c>
      <c r="F102" s="859">
        <v>3</v>
      </c>
      <c r="G102" s="858">
        <v>0.12</v>
      </c>
      <c r="H102" s="859">
        <f>F102-G102</f>
        <v>2.88</v>
      </c>
      <c r="I102" s="859">
        <f>H102*E102*D102*C102</f>
        <v>17.625599999999999</v>
      </c>
      <c r="J102" s="859">
        <f>(D102+D102+E102+E102)*H102*C102</f>
        <v>117.504</v>
      </c>
      <c r="K102" s="792"/>
      <c r="L102" s="858">
        <v>25</v>
      </c>
      <c r="M102" s="858"/>
      <c r="N102" s="858">
        <v>13</v>
      </c>
      <c r="O102" s="858"/>
      <c r="P102" s="858"/>
      <c r="Q102" s="858">
        <v>0.1</v>
      </c>
      <c r="R102" s="858">
        <v>0.15</v>
      </c>
      <c r="S102" s="858">
        <v>0.1</v>
      </c>
      <c r="T102" s="858">
        <v>16</v>
      </c>
      <c r="U102" s="858"/>
      <c r="V102" s="861">
        <f t="shared" ref="V102:V105" si="111">(H102/4)/Q102+1</f>
        <v>8.1999999999999993</v>
      </c>
      <c r="W102" s="861">
        <f t="shared" ref="W102:W105" si="112">(H102/2)/R102+1</f>
        <v>10.6</v>
      </c>
      <c r="X102" s="861">
        <f t="shared" ref="X102:X105" si="113">(H102/4)/S102+1</f>
        <v>8.1999999999999993</v>
      </c>
      <c r="Y102" s="861"/>
      <c r="Z102" s="861"/>
      <c r="AA102" s="859">
        <f>(H102)+(2*6*L102/1000)+(50*L102/1000)+(0.12)</f>
        <v>4.55</v>
      </c>
      <c r="AB102" s="859"/>
      <c r="AC102" s="858">
        <f>(2*D102)+(2*E102)+(2*6*N102/1000)-(8*0.03)</f>
        <v>2.3159999999999998</v>
      </c>
      <c r="AD102" s="862">
        <f>(E102)+(2*6*O102/1000)-(2*0.03)</f>
        <v>0.54</v>
      </c>
      <c r="AE102" s="862">
        <f>(D102)+(2*6*P102/1000)-(2*0.03)</f>
        <v>0.54</v>
      </c>
      <c r="AF102" s="859">
        <f>AA102*T102*C102</f>
        <v>1237.5999999999999</v>
      </c>
      <c r="AG102" s="859"/>
      <c r="AH102" s="859">
        <f>AC102*(V102+W102+X102)*C102</f>
        <v>1063.0439999999999</v>
      </c>
      <c r="AI102" s="859"/>
      <c r="AJ102" s="859"/>
      <c r="AK102" s="863">
        <f t="shared" ref="AK102:AK105" si="114">L102*L102*0.074/12</f>
        <v>3.8541666666666665</v>
      </c>
      <c r="AL102" s="863"/>
      <c r="AM102" s="863">
        <f t="shared" ref="AM102:AM105" si="115">N102*N102*0.074/12</f>
        <v>1.0421666666666667</v>
      </c>
      <c r="AN102" s="863"/>
      <c r="AO102" s="863"/>
      <c r="AP102" s="859">
        <f>AF102*AK102</f>
        <v>4769.9166666666661</v>
      </c>
      <c r="AQ102" s="859"/>
      <c r="AR102" s="859">
        <f>AH102*AM102</f>
        <v>1107.8690219999999</v>
      </c>
      <c r="AS102" s="859"/>
      <c r="AT102" s="859"/>
      <c r="AU102" s="861">
        <f t="shared" ref="AU102:AU105" si="116">SUM(AP102:AT102)/I102</f>
        <v>333.48003407921811</v>
      </c>
    </row>
    <row r="103" spans="1:47" ht="15.75" thickBot="1">
      <c r="A103" s="858">
        <v>2</v>
      </c>
      <c r="B103" s="858" t="s">
        <v>1020</v>
      </c>
      <c r="C103" s="858">
        <v>4</v>
      </c>
      <c r="D103" s="859">
        <v>1</v>
      </c>
      <c r="E103" s="859">
        <f>D103</f>
        <v>1</v>
      </c>
      <c r="F103" s="859">
        <v>3</v>
      </c>
      <c r="G103" s="858">
        <v>0.12</v>
      </c>
      <c r="H103" s="859">
        <f t="shared" ref="H103:H105" si="117">F103-G103</f>
        <v>2.88</v>
      </c>
      <c r="I103" s="859">
        <f t="shared" ref="I103:I105" si="118">H103*E103*D103*C103</f>
        <v>11.52</v>
      </c>
      <c r="J103" s="859">
        <f t="shared" ref="J103:J105" si="119">(D103+D103+E103+E103)*H103*C103</f>
        <v>46.08</v>
      </c>
      <c r="K103" s="792"/>
      <c r="L103" s="858">
        <v>25</v>
      </c>
      <c r="M103" s="858"/>
      <c r="N103" s="858">
        <v>13</v>
      </c>
      <c r="O103" s="858"/>
      <c r="P103" s="858"/>
      <c r="Q103" s="858">
        <v>0.1</v>
      </c>
      <c r="R103" s="858">
        <v>0.15</v>
      </c>
      <c r="S103" s="858">
        <v>0.1</v>
      </c>
      <c r="T103" s="858">
        <v>24</v>
      </c>
      <c r="U103" s="858"/>
      <c r="V103" s="861">
        <f t="shared" si="111"/>
        <v>8.1999999999999993</v>
      </c>
      <c r="W103" s="861">
        <f t="shared" si="112"/>
        <v>10.6</v>
      </c>
      <c r="X103" s="861">
        <f t="shared" si="113"/>
        <v>8.1999999999999993</v>
      </c>
      <c r="Y103" s="861"/>
      <c r="Z103" s="861"/>
      <c r="AA103" s="859">
        <f t="shared" ref="AA103:AA105" si="120">(H103)+(2*6*L103/1000)+(50*L103/1000)+(0.12)</f>
        <v>4.55</v>
      </c>
      <c r="AB103" s="859"/>
      <c r="AC103" s="858">
        <f t="shared" ref="AC103:AC105" si="121">(2*D103)+(2*E103)+(2*6*N103/1000)-(8*0.03)</f>
        <v>3.9159999999999995</v>
      </c>
      <c r="AD103" s="862">
        <f t="shared" ref="AD103:AD105" si="122">(E103)+(2*6*O103/1000)-(2*0.03)</f>
        <v>0.94</v>
      </c>
      <c r="AE103" s="862">
        <f t="shared" ref="AE103:AE105" si="123">(D103)+(2*6*P103/1000)-(2*0.03)</f>
        <v>0.94</v>
      </c>
      <c r="AF103" s="859">
        <f t="shared" ref="AF103:AF105" si="124">AA103*T103*C103</f>
        <v>436.79999999999995</v>
      </c>
      <c r="AG103" s="859"/>
      <c r="AH103" s="859">
        <f t="shared" ref="AH103:AH105" si="125">AC103*(V103+W103+X103)*C103</f>
        <v>422.92799999999988</v>
      </c>
      <c r="AI103" s="859"/>
      <c r="AJ103" s="859"/>
      <c r="AK103" s="863">
        <f t="shared" si="114"/>
        <v>3.8541666666666665</v>
      </c>
      <c r="AL103" s="863"/>
      <c r="AM103" s="863">
        <f t="shared" si="115"/>
        <v>1.0421666666666667</v>
      </c>
      <c r="AN103" s="863"/>
      <c r="AO103" s="863"/>
      <c r="AP103" s="859">
        <f t="shared" ref="AP103" si="126">AF103*AK103</f>
        <v>1683.4999999999998</v>
      </c>
      <c r="AQ103" s="859"/>
      <c r="AR103" s="859">
        <f t="shared" ref="AR103" si="127">AH103*AM103</f>
        <v>440.76146399999988</v>
      </c>
      <c r="AS103" s="859"/>
      <c r="AT103" s="859"/>
      <c r="AU103" s="861">
        <f t="shared" si="116"/>
        <v>184.39769652777775</v>
      </c>
    </row>
    <row r="104" spans="1:47" ht="15.75" thickBot="1">
      <c r="A104" s="858">
        <v>3</v>
      </c>
      <c r="B104" s="858" t="s">
        <v>1023</v>
      </c>
      <c r="C104" s="858">
        <v>4</v>
      </c>
      <c r="D104" s="859">
        <v>0.6</v>
      </c>
      <c r="E104" s="859">
        <f>D104</f>
        <v>0.6</v>
      </c>
      <c r="F104" s="859">
        <v>3</v>
      </c>
      <c r="G104" s="858">
        <v>0.12</v>
      </c>
      <c r="H104" s="859">
        <f t="shared" si="117"/>
        <v>2.88</v>
      </c>
      <c r="I104" s="859">
        <f t="shared" si="118"/>
        <v>4.1471999999999998</v>
      </c>
      <c r="J104" s="859">
        <f t="shared" si="119"/>
        <v>27.648</v>
      </c>
      <c r="K104" s="792"/>
      <c r="L104" s="858">
        <v>25</v>
      </c>
      <c r="M104" s="858"/>
      <c r="N104" s="858">
        <v>13</v>
      </c>
      <c r="O104" s="858"/>
      <c r="P104" s="858"/>
      <c r="Q104" s="858">
        <v>0.1</v>
      </c>
      <c r="R104" s="858">
        <v>0.15</v>
      </c>
      <c r="S104" s="858">
        <v>0.1</v>
      </c>
      <c r="T104" s="858">
        <v>16</v>
      </c>
      <c r="U104" s="858"/>
      <c r="V104" s="861">
        <f t="shared" si="111"/>
        <v>8.1999999999999993</v>
      </c>
      <c r="W104" s="861">
        <f t="shared" si="112"/>
        <v>10.6</v>
      </c>
      <c r="X104" s="861">
        <f t="shared" si="113"/>
        <v>8.1999999999999993</v>
      </c>
      <c r="Y104" s="861"/>
      <c r="Z104" s="861"/>
      <c r="AA104" s="859">
        <f t="shared" si="120"/>
        <v>4.55</v>
      </c>
      <c r="AB104" s="859"/>
      <c r="AC104" s="858">
        <f t="shared" si="121"/>
        <v>2.3159999999999998</v>
      </c>
      <c r="AD104" s="862">
        <f t="shared" si="122"/>
        <v>0.54</v>
      </c>
      <c r="AE104" s="862">
        <f t="shared" si="123"/>
        <v>0.54</v>
      </c>
      <c r="AF104" s="859">
        <f t="shared" si="124"/>
        <v>291.2</v>
      </c>
      <c r="AG104" s="859"/>
      <c r="AH104" s="859">
        <f t="shared" si="125"/>
        <v>250.12799999999996</v>
      </c>
      <c r="AI104" s="859"/>
      <c r="AJ104" s="859"/>
      <c r="AK104" s="863">
        <f t="shared" si="114"/>
        <v>3.8541666666666665</v>
      </c>
      <c r="AL104" s="863"/>
      <c r="AM104" s="863">
        <f t="shared" si="115"/>
        <v>1.0421666666666667</v>
      </c>
      <c r="AN104" s="863"/>
      <c r="AO104" s="863"/>
      <c r="AP104" s="859">
        <f>AF104*AK104</f>
        <v>1122.3333333333333</v>
      </c>
      <c r="AQ104" s="859"/>
      <c r="AR104" s="859">
        <f>AH104*AM104</f>
        <v>260.67506399999996</v>
      </c>
      <c r="AS104" s="859"/>
      <c r="AT104" s="859"/>
      <c r="AU104" s="861">
        <f t="shared" si="116"/>
        <v>333.48003407921811</v>
      </c>
    </row>
    <row r="105" spans="1:47" ht="15.75" thickBot="1">
      <c r="A105" s="858">
        <v>4</v>
      </c>
      <c r="B105" s="858" t="s">
        <v>1024</v>
      </c>
      <c r="C105" s="858">
        <v>2</v>
      </c>
      <c r="D105" s="859">
        <v>1.2</v>
      </c>
      <c r="E105" s="859">
        <f>D105</f>
        <v>1.2</v>
      </c>
      <c r="F105" s="859">
        <v>3</v>
      </c>
      <c r="G105" s="858">
        <v>0.12</v>
      </c>
      <c r="H105" s="859">
        <f t="shared" si="117"/>
        <v>2.88</v>
      </c>
      <c r="I105" s="859">
        <f t="shared" si="118"/>
        <v>8.2943999999999996</v>
      </c>
      <c r="J105" s="859">
        <f t="shared" si="119"/>
        <v>27.648</v>
      </c>
      <c r="K105" s="792"/>
      <c r="L105" s="858">
        <v>25</v>
      </c>
      <c r="M105" s="858"/>
      <c r="N105" s="858">
        <v>13</v>
      </c>
      <c r="O105" s="858"/>
      <c r="P105" s="858"/>
      <c r="Q105" s="858">
        <v>0.1</v>
      </c>
      <c r="R105" s="858">
        <v>0.15</v>
      </c>
      <c r="S105" s="858">
        <v>0.1</v>
      </c>
      <c r="T105" s="858">
        <v>28</v>
      </c>
      <c r="U105" s="858"/>
      <c r="V105" s="861">
        <f t="shared" si="111"/>
        <v>8.1999999999999993</v>
      </c>
      <c r="W105" s="861">
        <f t="shared" si="112"/>
        <v>10.6</v>
      </c>
      <c r="X105" s="861">
        <f t="shared" si="113"/>
        <v>8.1999999999999993</v>
      </c>
      <c r="Y105" s="861"/>
      <c r="Z105" s="861"/>
      <c r="AA105" s="859">
        <f t="shared" si="120"/>
        <v>4.55</v>
      </c>
      <c r="AB105" s="859"/>
      <c r="AC105" s="858">
        <f t="shared" si="121"/>
        <v>4.7159999999999993</v>
      </c>
      <c r="AD105" s="862">
        <f t="shared" si="122"/>
        <v>1.1399999999999999</v>
      </c>
      <c r="AE105" s="862">
        <f t="shared" si="123"/>
        <v>1.1399999999999999</v>
      </c>
      <c r="AF105" s="859">
        <f t="shared" si="124"/>
        <v>254.79999999999998</v>
      </c>
      <c r="AG105" s="859"/>
      <c r="AH105" s="859">
        <f t="shared" si="125"/>
        <v>254.66399999999993</v>
      </c>
      <c r="AI105" s="859"/>
      <c r="AJ105" s="859"/>
      <c r="AK105" s="863">
        <f t="shared" si="114"/>
        <v>3.8541666666666665</v>
      </c>
      <c r="AL105" s="863"/>
      <c r="AM105" s="863">
        <f t="shared" si="115"/>
        <v>1.0421666666666667</v>
      </c>
      <c r="AN105" s="863"/>
      <c r="AO105" s="863"/>
      <c r="AP105" s="859">
        <f>AF105*AK105</f>
        <v>982.04166666666652</v>
      </c>
      <c r="AQ105" s="859"/>
      <c r="AR105" s="859">
        <f>AH105*AM105</f>
        <v>265.40233199999994</v>
      </c>
      <c r="AS105" s="859"/>
      <c r="AT105" s="859"/>
      <c r="AU105" s="861">
        <f t="shared" si="116"/>
        <v>150.39592962319958</v>
      </c>
    </row>
    <row r="106" spans="1:47" ht="15.75" thickBot="1">
      <c r="A106" s="792"/>
      <c r="B106" s="792"/>
      <c r="C106" s="792"/>
      <c r="D106" s="794"/>
      <c r="E106" s="794"/>
      <c r="F106" s="794"/>
      <c r="G106" s="792"/>
      <c r="H106" s="792"/>
      <c r="I106" s="794"/>
      <c r="J106" s="794"/>
      <c r="K106" s="792"/>
      <c r="L106" s="858"/>
      <c r="M106" s="858"/>
      <c r="N106" s="858"/>
      <c r="O106" s="858"/>
      <c r="P106" s="858"/>
      <c r="Q106" s="858"/>
      <c r="R106" s="858"/>
      <c r="S106" s="858"/>
      <c r="T106" s="858"/>
      <c r="U106" s="858"/>
      <c r="V106" s="861"/>
      <c r="W106" s="861"/>
      <c r="X106" s="861"/>
      <c r="Y106" s="861"/>
      <c r="Z106" s="861"/>
      <c r="AA106" s="859"/>
      <c r="AB106" s="859"/>
      <c r="AC106" s="858"/>
      <c r="AD106" s="862"/>
      <c r="AE106" s="862"/>
      <c r="AF106" s="859"/>
      <c r="AG106" s="859"/>
      <c r="AH106" s="859"/>
      <c r="AI106" s="859"/>
      <c r="AJ106" s="859"/>
      <c r="AK106" s="863"/>
      <c r="AL106" s="863"/>
      <c r="AM106" s="863"/>
      <c r="AN106" s="863"/>
      <c r="AO106" s="863"/>
      <c r="AP106" s="859"/>
      <c r="AQ106" s="859"/>
      <c r="AR106" s="859"/>
      <c r="AS106" s="859"/>
      <c r="AT106" s="859"/>
      <c r="AU106" s="861"/>
    </row>
    <row r="107" spans="1:47">
      <c r="A107" s="796" t="s">
        <v>66</v>
      </c>
      <c r="B107" s="797" t="s">
        <v>983</v>
      </c>
      <c r="C107" s="797"/>
      <c r="D107" s="798" t="s">
        <v>984</v>
      </c>
      <c r="E107" s="798"/>
      <c r="F107" s="798"/>
      <c r="G107" s="799" t="s">
        <v>985</v>
      </c>
      <c r="H107" s="799" t="s">
        <v>986</v>
      </c>
      <c r="I107" s="798" t="s">
        <v>392</v>
      </c>
      <c r="J107" s="800" t="s">
        <v>377</v>
      </c>
      <c r="K107" s="792"/>
      <c r="L107" s="801" t="s">
        <v>987</v>
      </c>
      <c r="M107" s="802"/>
      <c r="N107" s="803" t="s">
        <v>988</v>
      </c>
      <c r="O107" s="803"/>
      <c r="P107" s="803"/>
      <c r="Q107" s="803" t="s">
        <v>989</v>
      </c>
      <c r="R107" s="803"/>
      <c r="S107" s="803"/>
      <c r="T107" s="804"/>
      <c r="U107" s="805"/>
      <c r="V107" s="806" t="s">
        <v>990</v>
      </c>
      <c r="W107" s="806"/>
      <c r="X107" s="806"/>
      <c r="Y107" s="806"/>
      <c r="Z107" s="806"/>
      <c r="AA107" s="807" t="s">
        <v>991</v>
      </c>
      <c r="AB107" s="808"/>
      <c r="AC107" s="809" t="s">
        <v>992</v>
      </c>
      <c r="AD107" s="809"/>
      <c r="AE107" s="809"/>
      <c r="AF107" s="810" t="s">
        <v>993</v>
      </c>
      <c r="AG107" s="811"/>
      <c r="AH107" s="798" t="s">
        <v>994</v>
      </c>
      <c r="AI107" s="798"/>
      <c r="AJ107" s="798"/>
      <c r="AK107" s="812" t="s">
        <v>995</v>
      </c>
      <c r="AL107" s="813"/>
      <c r="AM107" s="814" t="s">
        <v>996</v>
      </c>
      <c r="AN107" s="814"/>
      <c r="AO107" s="814"/>
      <c r="AP107" s="798" t="s">
        <v>997</v>
      </c>
      <c r="AQ107" s="798"/>
      <c r="AR107" s="798"/>
      <c r="AS107" s="798"/>
      <c r="AT107" s="798"/>
      <c r="AU107" s="815" t="s">
        <v>998</v>
      </c>
    </row>
    <row r="108" spans="1:47" ht="15.75" thickBot="1">
      <c r="A108" s="816"/>
      <c r="B108" s="817" t="s">
        <v>372</v>
      </c>
      <c r="C108" s="817" t="s">
        <v>372</v>
      </c>
      <c r="D108" s="818" t="s">
        <v>999</v>
      </c>
      <c r="E108" s="818" t="s">
        <v>1000</v>
      </c>
      <c r="F108" s="818" t="s">
        <v>1001</v>
      </c>
      <c r="G108" s="819" t="s">
        <v>1002</v>
      </c>
      <c r="H108" s="819" t="s">
        <v>1003</v>
      </c>
      <c r="I108" s="818"/>
      <c r="J108" s="820"/>
      <c r="K108" s="792"/>
      <c r="L108" s="821" t="s">
        <v>1006</v>
      </c>
      <c r="M108" s="822"/>
      <c r="N108" s="819" t="s">
        <v>1004</v>
      </c>
      <c r="O108" s="819" t="s">
        <v>1005</v>
      </c>
      <c r="P108" s="819"/>
      <c r="Q108" s="819" t="s">
        <v>1001</v>
      </c>
      <c r="R108" s="819" t="s">
        <v>1000</v>
      </c>
      <c r="S108" s="819" t="s">
        <v>1001</v>
      </c>
      <c r="T108" s="823" t="s">
        <v>1006</v>
      </c>
      <c r="U108" s="824"/>
      <c r="V108" s="825" t="s">
        <v>1007</v>
      </c>
      <c r="W108" s="825"/>
      <c r="X108" s="825"/>
      <c r="Y108" s="825" t="s">
        <v>1005</v>
      </c>
      <c r="Z108" s="825"/>
      <c r="AA108" s="826" t="s">
        <v>1008</v>
      </c>
      <c r="AB108" s="827"/>
      <c r="AC108" s="819" t="s">
        <v>1004</v>
      </c>
      <c r="AD108" s="828" t="s">
        <v>1005</v>
      </c>
      <c r="AE108" s="828"/>
      <c r="AF108" s="829" t="s">
        <v>1006</v>
      </c>
      <c r="AG108" s="830"/>
      <c r="AH108" s="818" t="s">
        <v>1004</v>
      </c>
      <c r="AI108" s="818" t="s">
        <v>1005</v>
      </c>
      <c r="AJ108" s="818"/>
      <c r="AK108" s="831" t="s">
        <v>1009</v>
      </c>
      <c r="AL108" s="832"/>
      <c r="AM108" s="833"/>
      <c r="AN108" s="833"/>
      <c r="AO108" s="833"/>
      <c r="AP108" s="818" t="s">
        <v>1006</v>
      </c>
      <c r="AQ108" s="818"/>
      <c r="AR108" s="818" t="s">
        <v>1010</v>
      </c>
      <c r="AS108" s="818"/>
      <c r="AT108" s="818"/>
      <c r="AU108" s="834" t="s">
        <v>1011</v>
      </c>
    </row>
    <row r="109" spans="1:47" ht="15.75" thickTop="1">
      <c r="A109" s="816"/>
      <c r="B109" s="817"/>
      <c r="C109" s="817"/>
      <c r="D109" s="818"/>
      <c r="E109" s="818"/>
      <c r="F109" s="818"/>
      <c r="G109" s="819"/>
      <c r="H109" s="819"/>
      <c r="I109" s="818"/>
      <c r="J109" s="820"/>
      <c r="K109" s="792"/>
      <c r="L109" s="835"/>
      <c r="M109" s="836"/>
      <c r="N109" s="819"/>
      <c r="O109" s="837" t="s">
        <v>494</v>
      </c>
      <c r="P109" s="837" t="s">
        <v>1012</v>
      </c>
      <c r="Q109" s="819"/>
      <c r="R109" s="819"/>
      <c r="S109" s="819"/>
      <c r="T109" s="838"/>
      <c r="U109" s="839"/>
      <c r="V109" s="840" t="s">
        <v>1001</v>
      </c>
      <c r="W109" s="840" t="s">
        <v>1000</v>
      </c>
      <c r="X109" s="840" t="s">
        <v>1001</v>
      </c>
      <c r="Y109" s="840" t="s">
        <v>494</v>
      </c>
      <c r="Z109" s="840" t="s">
        <v>1012</v>
      </c>
      <c r="AA109" s="841" t="s">
        <v>1013</v>
      </c>
      <c r="AB109" s="842"/>
      <c r="AC109" s="819"/>
      <c r="AD109" s="843" t="s">
        <v>494</v>
      </c>
      <c r="AE109" s="843" t="s">
        <v>1012</v>
      </c>
      <c r="AF109" s="844"/>
      <c r="AG109" s="842"/>
      <c r="AH109" s="818"/>
      <c r="AI109" s="845" t="s">
        <v>494</v>
      </c>
      <c r="AJ109" s="845" t="s">
        <v>1012</v>
      </c>
      <c r="AK109" s="846" t="s">
        <v>1013</v>
      </c>
      <c r="AL109" s="847"/>
      <c r="AM109" s="833"/>
      <c r="AN109" s="833"/>
      <c r="AO109" s="833"/>
      <c r="AP109" s="818"/>
      <c r="AQ109" s="818"/>
      <c r="AR109" s="818"/>
      <c r="AS109" s="818"/>
      <c r="AT109" s="818"/>
      <c r="AU109" s="834"/>
    </row>
    <row r="110" spans="1:47" ht="15.75" thickBot="1">
      <c r="A110" s="848"/>
      <c r="B110" s="817"/>
      <c r="C110" s="817"/>
      <c r="D110" s="849" t="s">
        <v>151</v>
      </c>
      <c r="E110" s="849"/>
      <c r="F110" s="849"/>
      <c r="G110" s="849"/>
      <c r="H110" s="849"/>
      <c r="I110" s="850" t="s">
        <v>1014</v>
      </c>
      <c r="J110" s="851" t="s">
        <v>1015</v>
      </c>
      <c r="K110" s="792"/>
      <c r="L110" s="848" t="s">
        <v>1016</v>
      </c>
      <c r="M110" s="852"/>
      <c r="N110" s="852" t="s">
        <v>1016</v>
      </c>
      <c r="O110" s="852"/>
      <c r="P110" s="852"/>
      <c r="Q110" s="852" t="s">
        <v>151</v>
      </c>
      <c r="R110" s="852"/>
      <c r="S110" s="852"/>
      <c r="T110" s="823" t="s">
        <v>34</v>
      </c>
      <c r="U110" s="853"/>
      <c r="V110" s="854" t="s">
        <v>34</v>
      </c>
      <c r="W110" s="854"/>
      <c r="X110" s="854"/>
      <c r="Y110" s="854"/>
      <c r="Z110" s="854"/>
      <c r="AA110" s="849" t="s">
        <v>151</v>
      </c>
      <c r="AB110" s="849"/>
      <c r="AC110" s="852" t="s">
        <v>151</v>
      </c>
      <c r="AD110" s="852"/>
      <c r="AE110" s="852"/>
      <c r="AF110" s="849" t="s">
        <v>151</v>
      </c>
      <c r="AG110" s="849"/>
      <c r="AH110" s="849" t="s">
        <v>151</v>
      </c>
      <c r="AI110" s="849"/>
      <c r="AJ110" s="849"/>
      <c r="AK110" s="855" t="s">
        <v>1017</v>
      </c>
      <c r="AL110" s="855"/>
      <c r="AM110" s="855"/>
      <c r="AN110" s="855"/>
      <c r="AO110" s="855"/>
      <c r="AP110" s="849" t="s">
        <v>7</v>
      </c>
      <c r="AQ110" s="849"/>
      <c r="AR110" s="849"/>
      <c r="AS110" s="849"/>
      <c r="AT110" s="849"/>
      <c r="AU110" s="856"/>
    </row>
    <row r="111" spans="1:47" ht="15.75" thickBot="1">
      <c r="A111" s="857" t="s">
        <v>1037</v>
      </c>
      <c r="B111" s="858"/>
      <c r="C111" s="858"/>
      <c r="D111" s="859"/>
      <c r="E111" s="859"/>
      <c r="F111" s="859"/>
      <c r="G111" s="858"/>
      <c r="H111" s="859"/>
      <c r="I111" s="859"/>
      <c r="J111" s="859"/>
      <c r="K111" s="792"/>
      <c r="L111" s="860" t="str">
        <f>A111</f>
        <v>Kolom Lantai 7</v>
      </c>
      <c r="M111" s="858"/>
      <c r="N111" s="858"/>
      <c r="O111" s="858"/>
      <c r="P111" s="858"/>
      <c r="Q111" s="858"/>
      <c r="R111" s="858"/>
      <c r="S111" s="858"/>
      <c r="T111" s="858"/>
      <c r="U111" s="858"/>
      <c r="V111" s="861"/>
      <c r="W111" s="861"/>
      <c r="X111" s="861"/>
      <c r="Y111" s="861"/>
      <c r="Z111" s="861"/>
      <c r="AA111" s="859"/>
      <c r="AB111" s="859"/>
      <c r="AC111" s="858"/>
      <c r="AD111" s="862"/>
      <c r="AE111" s="862"/>
      <c r="AF111" s="859"/>
      <c r="AG111" s="859"/>
      <c r="AH111" s="859"/>
      <c r="AI111" s="859"/>
      <c r="AJ111" s="859"/>
      <c r="AK111" s="863"/>
      <c r="AL111" s="863"/>
      <c r="AM111" s="863"/>
      <c r="AN111" s="863"/>
      <c r="AO111" s="863"/>
      <c r="AP111" s="859"/>
      <c r="AQ111" s="859"/>
      <c r="AR111" s="859"/>
      <c r="AS111" s="859"/>
      <c r="AT111" s="859"/>
      <c r="AU111" s="861"/>
    </row>
    <row r="112" spans="1:47" ht="15.75" thickBot="1">
      <c r="A112" s="858">
        <v>1</v>
      </c>
      <c r="B112" s="858" t="s">
        <v>1019</v>
      </c>
      <c r="C112" s="858">
        <v>17</v>
      </c>
      <c r="D112" s="859">
        <v>0.7</v>
      </c>
      <c r="E112" s="859">
        <f>D112</f>
        <v>0.7</v>
      </c>
      <c r="F112" s="859">
        <v>3</v>
      </c>
      <c r="G112" s="858">
        <v>0.12</v>
      </c>
      <c r="H112" s="859">
        <f>F112-G112</f>
        <v>2.88</v>
      </c>
      <c r="I112" s="859">
        <f>H112*E112*D112*C112</f>
        <v>23.990400000000001</v>
      </c>
      <c r="J112" s="859">
        <f>(D112+D112+E112+E112)*H112*C112</f>
        <v>137.08799999999999</v>
      </c>
      <c r="K112" s="792"/>
      <c r="L112" s="858">
        <v>25</v>
      </c>
      <c r="M112" s="858">
        <v>19</v>
      </c>
      <c r="N112" s="858">
        <v>13</v>
      </c>
      <c r="O112" s="858"/>
      <c r="P112" s="858"/>
      <c r="Q112" s="858">
        <v>0.1</v>
      </c>
      <c r="R112" s="858">
        <v>0.15</v>
      </c>
      <c r="S112" s="858">
        <v>0.1</v>
      </c>
      <c r="T112" s="858">
        <v>8</v>
      </c>
      <c r="U112" s="858">
        <v>8</v>
      </c>
      <c r="V112" s="861">
        <f t="shared" ref="V112:V115" si="128">(H112/4)/Q112+1</f>
        <v>8.1999999999999993</v>
      </c>
      <c r="W112" s="861">
        <f t="shared" ref="W112:W115" si="129">(H112/2)/R112+1</f>
        <v>10.6</v>
      </c>
      <c r="X112" s="861">
        <f t="shared" ref="X112:X115" si="130">(H112/4)/S112+1</f>
        <v>8.1999999999999993</v>
      </c>
      <c r="Y112" s="861"/>
      <c r="Z112" s="861"/>
      <c r="AA112" s="859">
        <f>(H112)+(2*6*L112/1000)+(50*L112/1000)+(0.12)</f>
        <v>4.55</v>
      </c>
      <c r="AB112" s="859">
        <f>(H112)+(2*6*M112/1000)+(50*M112/1000)+(0.12)</f>
        <v>4.1779999999999999</v>
      </c>
      <c r="AC112" s="858">
        <f>(2*D112)+(2*E112)+(2*6*N112/1000)-(8*0.03)</f>
        <v>2.7160000000000002</v>
      </c>
      <c r="AD112" s="862">
        <f>(E112)+(2*6*O112/1000)-(2*0.03)</f>
        <v>0.6399999999999999</v>
      </c>
      <c r="AE112" s="862">
        <f>(D112)+(2*6*P112/1000)-(2*0.03)</f>
        <v>0.6399999999999999</v>
      </c>
      <c r="AF112" s="859">
        <f>AA112*T112*C112</f>
        <v>618.79999999999995</v>
      </c>
      <c r="AG112" s="859">
        <f>AB112*U112*C112</f>
        <v>568.20799999999997</v>
      </c>
      <c r="AH112" s="859">
        <f>AC112*(V112+W112+X112)*C112</f>
        <v>1246.6439999999998</v>
      </c>
      <c r="AI112" s="859"/>
      <c r="AJ112" s="859"/>
      <c r="AK112" s="863">
        <f t="shared" ref="AK112:AK115" si="131">L112*L112*0.074/12</f>
        <v>3.8541666666666665</v>
      </c>
      <c r="AL112" s="863">
        <f>M112*M112*0.074/12</f>
        <v>2.2261666666666664</v>
      </c>
      <c r="AM112" s="863">
        <f t="shared" ref="AM112:AM115" si="132">N112*N112*0.074/12</f>
        <v>1.0421666666666667</v>
      </c>
      <c r="AN112" s="863"/>
      <c r="AO112" s="863"/>
      <c r="AP112" s="859">
        <f>AF112*AK112</f>
        <v>2384.958333333333</v>
      </c>
      <c r="AQ112" s="859">
        <f>AG112*AL112</f>
        <v>1264.9257093333331</v>
      </c>
      <c r="AR112" s="859">
        <f>AH112*AM112</f>
        <v>1299.2108219999998</v>
      </c>
      <c r="AS112" s="859"/>
      <c r="AT112" s="859"/>
      <c r="AU112" s="861">
        <f t="shared" ref="AU112:AU115" si="133">SUM(AP112:AT112)/I112</f>
        <v>206.29480394935746</v>
      </c>
    </row>
    <row r="113" spans="1:47" ht="15.75" thickBot="1">
      <c r="A113" s="858">
        <v>2</v>
      </c>
      <c r="B113" s="858" t="s">
        <v>1020</v>
      </c>
      <c r="C113" s="858">
        <v>4</v>
      </c>
      <c r="D113" s="859">
        <v>0.9</v>
      </c>
      <c r="E113" s="859">
        <f>D113</f>
        <v>0.9</v>
      </c>
      <c r="F113" s="859">
        <v>3</v>
      </c>
      <c r="G113" s="858">
        <v>0.12</v>
      </c>
      <c r="H113" s="859">
        <f t="shared" ref="H113:H115" si="134">F113-G113</f>
        <v>2.88</v>
      </c>
      <c r="I113" s="859">
        <f t="shared" ref="I113:I115" si="135">H113*E113*D113*C113</f>
        <v>9.3312000000000008</v>
      </c>
      <c r="J113" s="859">
        <f t="shared" ref="J113:J115" si="136">(D113+D113+E113+E113)*H113*C113</f>
        <v>41.472000000000001</v>
      </c>
      <c r="K113" s="792"/>
      <c r="L113" s="858">
        <v>25</v>
      </c>
      <c r="M113" s="858"/>
      <c r="N113" s="858">
        <v>13</v>
      </c>
      <c r="O113" s="858"/>
      <c r="P113" s="858"/>
      <c r="Q113" s="858">
        <v>0.1</v>
      </c>
      <c r="R113" s="858">
        <v>0.15</v>
      </c>
      <c r="S113" s="858">
        <v>0.1</v>
      </c>
      <c r="T113" s="858">
        <v>24</v>
      </c>
      <c r="U113" s="858"/>
      <c r="V113" s="861">
        <f t="shared" si="128"/>
        <v>8.1999999999999993</v>
      </c>
      <c r="W113" s="861">
        <f t="shared" si="129"/>
        <v>10.6</v>
      </c>
      <c r="X113" s="861">
        <f t="shared" si="130"/>
        <v>8.1999999999999993</v>
      </c>
      <c r="Y113" s="861"/>
      <c r="Z113" s="861"/>
      <c r="AA113" s="859">
        <f t="shared" ref="AA113:AA115" si="137">(H113)+(2*6*L113/1000)+(50*L113/1000)+(0.12)</f>
        <v>4.55</v>
      </c>
      <c r="AB113" s="859"/>
      <c r="AC113" s="858">
        <f t="shared" ref="AC113:AC115" si="138">(2*D113)+(2*E113)+(2*6*N113/1000)-(8*0.03)</f>
        <v>3.516</v>
      </c>
      <c r="AD113" s="862">
        <f t="shared" ref="AD113:AD115" si="139">(E113)+(2*6*O113/1000)-(2*0.03)</f>
        <v>0.84000000000000008</v>
      </c>
      <c r="AE113" s="862">
        <f t="shared" ref="AE113:AE115" si="140">(D113)+(2*6*P113/1000)-(2*0.03)</f>
        <v>0.84000000000000008</v>
      </c>
      <c r="AF113" s="859">
        <f t="shared" ref="AF113:AF115" si="141">AA113*T113*C113</f>
        <v>436.79999999999995</v>
      </c>
      <c r="AG113" s="859"/>
      <c r="AH113" s="859">
        <f t="shared" ref="AH113:AH115" si="142">AC113*(V113+W113+X113)*C113</f>
        <v>379.72799999999995</v>
      </c>
      <c r="AI113" s="859"/>
      <c r="AJ113" s="859"/>
      <c r="AK113" s="863">
        <f t="shared" si="131"/>
        <v>3.8541666666666665</v>
      </c>
      <c r="AL113" s="863"/>
      <c r="AM113" s="863">
        <f t="shared" si="132"/>
        <v>1.0421666666666667</v>
      </c>
      <c r="AN113" s="863"/>
      <c r="AO113" s="863"/>
      <c r="AP113" s="859">
        <f t="shared" ref="AP113" si="143">AF113*AK113</f>
        <v>1683.4999999999998</v>
      </c>
      <c r="AQ113" s="859"/>
      <c r="AR113" s="859">
        <f t="shared" ref="AR113" si="144">AH113*AM113</f>
        <v>395.73986399999995</v>
      </c>
      <c r="AS113" s="859"/>
      <c r="AT113" s="859"/>
      <c r="AU113" s="861">
        <f t="shared" si="133"/>
        <v>222.82663151577498</v>
      </c>
    </row>
    <row r="114" spans="1:47" ht="15.75" thickBot="1">
      <c r="A114" s="858">
        <v>3</v>
      </c>
      <c r="B114" s="858" t="s">
        <v>1023</v>
      </c>
      <c r="C114" s="858">
        <v>4</v>
      </c>
      <c r="D114" s="859">
        <v>0.7</v>
      </c>
      <c r="E114" s="859">
        <f>D114</f>
        <v>0.7</v>
      </c>
      <c r="F114" s="859">
        <v>3</v>
      </c>
      <c r="G114" s="858">
        <v>0.12</v>
      </c>
      <c r="H114" s="859">
        <f t="shared" si="134"/>
        <v>2.88</v>
      </c>
      <c r="I114" s="859">
        <f t="shared" si="135"/>
        <v>5.6448</v>
      </c>
      <c r="J114" s="859">
        <f t="shared" si="136"/>
        <v>32.256</v>
      </c>
      <c r="K114" s="792"/>
      <c r="L114" s="858">
        <v>25</v>
      </c>
      <c r="M114" s="858"/>
      <c r="N114" s="858">
        <v>13</v>
      </c>
      <c r="O114" s="858"/>
      <c r="P114" s="858"/>
      <c r="Q114" s="858">
        <v>0.1</v>
      </c>
      <c r="R114" s="858">
        <v>0.15</v>
      </c>
      <c r="S114" s="858">
        <v>0.1</v>
      </c>
      <c r="T114" s="858">
        <v>16</v>
      </c>
      <c r="U114" s="858"/>
      <c r="V114" s="861">
        <f t="shared" si="128"/>
        <v>8.1999999999999993</v>
      </c>
      <c r="W114" s="861">
        <f t="shared" si="129"/>
        <v>10.6</v>
      </c>
      <c r="X114" s="861">
        <f t="shared" si="130"/>
        <v>8.1999999999999993</v>
      </c>
      <c r="Y114" s="861"/>
      <c r="Z114" s="861"/>
      <c r="AA114" s="859">
        <f t="shared" si="137"/>
        <v>4.55</v>
      </c>
      <c r="AB114" s="859"/>
      <c r="AC114" s="858">
        <f t="shared" si="138"/>
        <v>2.7160000000000002</v>
      </c>
      <c r="AD114" s="862">
        <f t="shared" si="139"/>
        <v>0.6399999999999999</v>
      </c>
      <c r="AE114" s="862">
        <f t="shared" si="140"/>
        <v>0.6399999999999999</v>
      </c>
      <c r="AF114" s="859">
        <f t="shared" si="141"/>
        <v>291.2</v>
      </c>
      <c r="AG114" s="859"/>
      <c r="AH114" s="859">
        <f t="shared" si="142"/>
        <v>293.32799999999997</v>
      </c>
      <c r="AI114" s="859"/>
      <c r="AJ114" s="859"/>
      <c r="AK114" s="863">
        <f t="shared" si="131"/>
        <v>3.8541666666666665</v>
      </c>
      <c r="AL114" s="863"/>
      <c r="AM114" s="863">
        <f t="shared" si="132"/>
        <v>1.0421666666666667</v>
      </c>
      <c r="AN114" s="863"/>
      <c r="AO114" s="863"/>
      <c r="AP114" s="859">
        <f>AF114*AK114</f>
        <v>1122.3333333333333</v>
      </c>
      <c r="AQ114" s="859"/>
      <c r="AR114" s="859">
        <f>AH114*AM114</f>
        <v>305.696664</v>
      </c>
      <c r="AS114" s="859"/>
      <c r="AT114" s="859"/>
      <c r="AU114" s="861">
        <f t="shared" si="133"/>
        <v>252.98150462962963</v>
      </c>
    </row>
    <row r="115" spans="1:47" ht="15.75" thickBot="1">
      <c r="A115" s="858">
        <v>4</v>
      </c>
      <c r="B115" s="858" t="s">
        <v>1024</v>
      </c>
      <c r="C115" s="858">
        <v>2</v>
      </c>
      <c r="D115" s="859">
        <v>1.1000000000000001</v>
      </c>
      <c r="E115" s="859">
        <f>D115</f>
        <v>1.1000000000000001</v>
      </c>
      <c r="F115" s="859">
        <v>3</v>
      </c>
      <c r="G115" s="858">
        <v>0.12</v>
      </c>
      <c r="H115" s="859">
        <f t="shared" si="134"/>
        <v>2.88</v>
      </c>
      <c r="I115" s="859">
        <f t="shared" si="135"/>
        <v>6.9696000000000007</v>
      </c>
      <c r="J115" s="859">
        <f t="shared" si="136"/>
        <v>25.344000000000001</v>
      </c>
      <c r="K115" s="792"/>
      <c r="L115" s="858">
        <v>25</v>
      </c>
      <c r="M115" s="858"/>
      <c r="N115" s="858">
        <v>13</v>
      </c>
      <c r="O115" s="858"/>
      <c r="P115" s="858"/>
      <c r="Q115" s="858">
        <v>0.1</v>
      </c>
      <c r="R115" s="858">
        <v>0.15</v>
      </c>
      <c r="S115" s="858">
        <v>0.1</v>
      </c>
      <c r="T115" s="858">
        <v>28</v>
      </c>
      <c r="U115" s="858"/>
      <c r="V115" s="861">
        <f t="shared" si="128"/>
        <v>8.1999999999999993</v>
      </c>
      <c r="W115" s="861">
        <f t="shared" si="129"/>
        <v>10.6</v>
      </c>
      <c r="X115" s="861">
        <f t="shared" si="130"/>
        <v>8.1999999999999993</v>
      </c>
      <c r="Y115" s="861"/>
      <c r="Z115" s="861"/>
      <c r="AA115" s="859">
        <f t="shared" si="137"/>
        <v>4.55</v>
      </c>
      <c r="AB115" s="859"/>
      <c r="AC115" s="858">
        <f t="shared" si="138"/>
        <v>4.3159999999999998</v>
      </c>
      <c r="AD115" s="862">
        <f t="shared" si="139"/>
        <v>1.04</v>
      </c>
      <c r="AE115" s="862">
        <f t="shared" si="140"/>
        <v>1.04</v>
      </c>
      <c r="AF115" s="859">
        <f t="shared" si="141"/>
        <v>254.79999999999998</v>
      </c>
      <c r="AG115" s="859"/>
      <c r="AH115" s="859">
        <f t="shared" si="142"/>
        <v>233.06399999999996</v>
      </c>
      <c r="AI115" s="859"/>
      <c r="AJ115" s="859"/>
      <c r="AK115" s="863">
        <f t="shared" si="131"/>
        <v>3.8541666666666665</v>
      </c>
      <c r="AL115" s="863"/>
      <c r="AM115" s="863">
        <f t="shared" si="132"/>
        <v>1.0421666666666667</v>
      </c>
      <c r="AN115" s="863"/>
      <c r="AO115" s="863"/>
      <c r="AP115" s="859">
        <f>AF115*AK115</f>
        <v>982.04166666666652</v>
      </c>
      <c r="AQ115" s="859"/>
      <c r="AR115" s="859">
        <f>AH115*AM115</f>
        <v>242.89153199999996</v>
      </c>
      <c r="AS115" s="859"/>
      <c r="AT115" s="859"/>
      <c r="AU115" s="861">
        <f t="shared" si="133"/>
        <v>175.75373029537798</v>
      </c>
    </row>
    <row r="116" spans="1:47" ht="15.75" thickBot="1">
      <c r="A116" s="792"/>
      <c r="B116" s="792"/>
      <c r="C116" s="792"/>
      <c r="D116" s="794"/>
      <c r="E116" s="794"/>
      <c r="F116" s="794"/>
      <c r="G116" s="792"/>
      <c r="H116" s="792"/>
      <c r="I116" s="794"/>
      <c r="J116" s="794"/>
      <c r="K116" s="792"/>
      <c r="L116" s="858"/>
      <c r="M116" s="858"/>
      <c r="N116" s="858"/>
      <c r="O116" s="858"/>
      <c r="P116" s="858"/>
      <c r="Q116" s="858"/>
      <c r="R116" s="858"/>
      <c r="S116" s="858"/>
      <c r="T116" s="858"/>
      <c r="U116" s="858"/>
      <c r="V116" s="861"/>
      <c r="W116" s="861"/>
      <c r="X116" s="861"/>
      <c r="Y116" s="861"/>
      <c r="Z116" s="861"/>
      <c r="AA116" s="859"/>
      <c r="AB116" s="859"/>
      <c r="AC116" s="858"/>
      <c r="AD116" s="862"/>
      <c r="AE116" s="862"/>
      <c r="AF116" s="859"/>
      <c r="AG116" s="859"/>
      <c r="AH116" s="859"/>
      <c r="AI116" s="859"/>
      <c r="AJ116" s="859"/>
      <c r="AK116" s="863"/>
      <c r="AL116" s="863"/>
      <c r="AM116" s="863"/>
      <c r="AN116" s="863"/>
      <c r="AO116" s="863"/>
      <c r="AP116" s="859"/>
      <c r="AQ116" s="859"/>
      <c r="AR116" s="859"/>
      <c r="AS116" s="859"/>
      <c r="AT116" s="859"/>
      <c r="AU116" s="861"/>
    </row>
    <row r="117" spans="1:47">
      <c r="A117" s="796" t="s">
        <v>66</v>
      </c>
      <c r="B117" s="797" t="s">
        <v>983</v>
      </c>
      <c r="C117" s="797"/>
      <c r="D117" s="798" t="s">
        <v>984</v>
      </c>
      <c r="E117" s="798"/>
      <c r="F117" s="798"/>
      <c r="G117" s="799" t="s">
        <v>985</v>
      </c>
      <c r="H117" s="799" t="s">
        <v>986</v>
      </c>
      <c r="I117" s="798" t="s">
        <v>392</v>
      </c>
      <c r="J117" s="800" t="s">
        <v>377</v>
      </c>
      <c r="K117" s="792"/>
      <c r="L117" s="801" t="s">
        <v>987</v>
      </c>
      <c r="M117" s="802"/>
      <c r="N117" s="803" t="s">
        <v>988</v>
      </c>
      <c r="O117" s="803"/>
      <c r="P117" s="803"/>
      <c r="Q117" s="803" t="s">
        <v>989</v>
      </c>
      <c r="R117" s="803"/>
      <c r="S117" s="803"/>
      <c r="T117" s="804"/>
      <c r="U117" s="805"/>
      <c r="V117" s="806" t="s">
        <v>990</v>
      </c>
      <c r="W117" s="806"/>
      <c r="X117" s="806"/>
      <c r="Y117" s="806"/>
      <c r="Z117" s="806"/>
      <c r="AA117" s="807" t="s">
        <v>991</v>
      </c>
      <c r="AB117" s="808"/>
      <c r="AC117" s="809" t="s">
        <v>992</v>
      </c>
      <c r="AD117" s="809"/>
      <c r="AE117" s="809"/>
      <c r="AF117" s="810" t="s">
        <v>993</v>
      </c>
      <c r="AG117" s="811"/>
      <c r="AH117" s="798" t="s">
        <v>994</v>
      </c>
      <c r="AI117" s="798"/>
      <c r="AJ117" s="798"/>
      <c r="AK117" s="812" t="s">
        <v>995</v>
      </c>
      <c r="AL117" s="813"/>
      <c r="AM117" s="814" t="s">
        <v>996</v>
      </c>
      <c r="AN117" s="814"/>
      <c r="AO117" s="814"/>
      <c r="AP117" s="798" t="s">
        <v>997</v>
      </c>
      <c r="AQ117" s="798"/>
      <c r="AR117" s="798"/>
      <c r="AS117" s="798"/>
      <c r="AT117" s="798"/>
      <c r="AU117" s="815" t="s">
        <v>998</v>
      </c>
    </row>
    <row r="118" spans="1:47" ht="15.75" thickBot="1">
      <c r="A118" s="816"/>
      <c r="B118" s="817" t="s">
        <v>372</v>
      </c>
      <c r="C118" s="817" t="s">
        <v>372</v>
      </c>
      <c r="D118" s="818" t="s">
        <v>999</v>
      </c>
      <c r="E118" s="818" t="s">
        <v>1000</v>
      </c>
      <c r="F118" s="818" t="s">
        <v>1001</v>
      </c>
      <c r="G118" s="819" t="s">
        <v>1002</v>
      </c>
      <c r="H118" s="819" t="s">
        <v>1003</v>
      </c>
      <c r="I118" s="818"/>
      <c r="J118" s="820"/>
      <c r="K118" s="792"/>
      <c r="L118" s="821" t="s">
        <v>1006</v>
      </c>
      <c r="M118" s="822"/>
      <c r="N118" s="819" t="s">
        <v>1004</v>
      </c>
      <c r="O118" s="819" t="s">
        <v>1005</v>
      </c>
      <c r="P118" s="819"/>
      <c r="Q118" s="819" t="s">
        <v>1001</v>
      </c>
      <c r="R118" s="819" t="s">
        <v>1000</v>
      </c>
      <c r="S118" s="819" t="s">
        <v>1001</v>
      </c>
      <c r="T118" s="823" t="s">
        <v>1006</v>
      </c>
      <c r="U118" s="824"/>
      <c r="V118" s="825" t="s">
        <v>1007</v>
      </c>
      <c r="W118" s="825"/>
      <c r="X118" s="825"/>
      <c r="Y118" s="825" t="s">
        <v>1005</v>
      </c>
      <c r="Z118" s="825"/>
      <c r="AA118" s="826" t="s">
        <v>1008</v>
      </c>
      <c r="AB118" s="827"/>
      <c r="AC118" s="819" t="s">
        <v>1004</v>
      </c>
      <c r="AD118" s="828" t="s">
        <v>1005</v>
      </c>
      <c r="AE118" s="828"/>
      <c r="AF118" s="829" t="s">
        <v>1006</v>
      </c>
      <c r="AG118" s="830"/>
      <c r="AH118" s="818" t="s">
        <v>1004</v>
      </c>
      <c r="AI118" s="818" t="s">
        <v>1005</v>
      </c>
      <c r="AJ118" s="818"/>
      <c r="AK118" s="831" t="s">
        <v>1009</v>
      </c>
      <c r="AL118" s="832"/>
      <c r="AM118" s="833"/>
      <c r="AN118" s="833"/>
      <c r="AO118" s="833"/>
      <c r="AP118" s="818" t="s">
        <v>1006</v>
      </c>
      <c r="AQ118" s="818"/>
      <c r="AR118" s="818" t="s">
        <v>1010</v>
      </c>
      <c r="AS118" s="818"/>
      <c r="AT118" s="818"/>
      <c r="AU118" s="834" t="s">
        <v>1011</v>
      </c>
    </row>
    <row r="119" spans="1:47" ht="15.75" thickTop="1">
      <c r="A119" s="816"/>
      <c r="B119" s="817"/>
      <c r="C119" s="817"/>
      <c r="D119" s="818"/>
      <c r="E119" s="818"/>
      <c r="F119" s="818"/>
      <c r="G119" s="819"/>
      <c r="H119" s="819"/>
      <c r="I119" s="818"/>
      <c r="J119" s="820"/>
      <c r="K119" s="792"/>
      <c r="L119" s="835"/>
      <c r="M119" s="836"/>
      <c r="N119" s="819"/>
      <c r="O119" s="837" t="s">
        <v>494</v>
      </c>
      <c r="P119" s="837" t="s">
        <v>1012</v>
      </c>
      <c r="Q119" s="819"/>
      <c r="R119" s="819"/>
      <c r="S119" s="819"/>
      <c r="T119" s="838"/>
      <c r="U119" s="839"/>
      <c r="V119" s="840" t="s">
        <v>1001</v>
      </c>
      <c r="W119" s="840" t="s">
        <v>1000</v>
      </c>
      <c r="X119" s="840" t="s">
        <v>1001</v>
      </c>
      <c r="Y119" s="840" t="s">
        <v>494</v>
      </c>
      <c r="Z119" s="840" t="s">
        <v>1012</v>
      </c>
      <c r="AA119" s="841" t="s">
        <v>1013</v>
      </c>
      <c r="AB119" s="842"/>
      <c r="AC119" s="819"/>
      <c r="AD119" s="843" t="s">
        <v>494</v>
      </c>
      <c r="AE119" s="843" t="s">
        <v>1012</v>
      </c>
      <c r="AF119" s="844"/>
      <c r="AG119" s="842"/>
      <c r="AH119" s="818"/>
      <c r="AI119" s="845" t="s">
        <v>494</v>
      </c>
      <c r="AJ119" s="845" t="s">
        <v>1012</v>
      </c>
      <c r="AK119" s="846" t="s">
        <v>1013</v>
      </c>
      <c r="AL119" s="847"/>
      <c r="AM119" s="833"/>
      <c r="AN119" s="833"/>
      <c r="AO119" s="833"/>
      <c r="AP119" s="818"/>
      <c r="AQ119" s="818"/>
      <c r="AR119" s="818"/>
      <c r="AS119" s="818"/>
      <c r="AT119" s="818"/>
      <c r="AU119" s="834"/>
    </row>
    <row r="120" spans="1:47" ht="15.75" thickBot="1">
      <c r="A120" s="848"/>
      <c r="B120" s="817"/>
      <c r="C120" s="817"/>
      <c r="D120" s="849" t="s">
        <v>151</v>
      </c>
      <c r="E120" s="849"/>
      <c r="F120" s="849"/>
      <c r="G120" s="849"/>
      <c r="H120" s="849"/>
      <c r="I120" s="850" t="s">
        <v>1014</v>
      </c>
      <c r="J120" s="851" t="s">
        <v>1015</v>
      </c>
      <c r="K120" s="792"/>
      <c r="L120" s="848" t="s">
        <v>1016</v>
      </c>
      <c r="M120" s="852"/>
      <c r="N120" s="852" t="s">
        <v>1016</v>
      </c>
      <c r="O120" s="852"/>
      <c r="P120" s="852"/>
      <c r="Q120" s="852" t="s">
        <v>151</v>
      </c>
      <c r="R120" s="852"/>
      <c r="S120" s="852"/>
      <c r="T120" s="823" t="s">
        <v>34</v>
      </c>
      <c r="U120" s="853"/>
      <c r="V120" s="854" t="s">
        <v>34</v>
      </c>
      <c r="W120" s="854"/>
      <c r="X120" s="854"/>
      <c r="Y120" s="854"/>
      <c r="Z120" s="854"/>
      <c r="AA120" s="849" t="s">
        <v>151</v>
      </c>
      <c r="AB120" s="849"/>
      <c r="AC120" s="852" t="s">
        <v>151</v>
      </c>
      <c r="AD120" s="852"/>
      <c r="AE120" s="852"/>
      <c r="AF120" s="849" t="s">
        <v>151</v>
      </c>
      <c r="AG120" s="849"/>
      <c r="AH120" s="849" t="s">
        <v>151</v>
      </c>
      <c r="AI120" s="849"/>
      <c r="AJ120" s="849"/>
      <c r="AK120" s="855" t="s">
        <v>1017</v>
      </c>
      <c r="AL120" s="855"/>
      <c r="AM120" s="855"/>
      <c r="AN120" s="855"/>
      <c r="AO120" s="855"/>
      <c r="AP120" s="849" t="s">
        <v>7</v>
      </c>
      <c r="AQ120" s="849"/>
      <c r="AR120" s="849"/>
      <c r="AS120" s="849"/>
      <c r="AT120" s="849"/>
      <c r="AU120" s="856"/>
    </row>
    <row r="121" spans="1:47" ht="15.75" thickBot="1">
      <c r="A121" s="857" t="s">
        <v>1038</v>
      </c>
      <c r="B121" s="858"/>
      <c r="C121" s="858"/>
      <c r="D121" s="859"/>
      <c r="E121" s="859"/>
      <c r="F121" s="859"/>
      <c r="G121" s="858"/>
      <c r="H121" s="859"/>
      <c r="I121" s="859"/>
      <c r="J121" s="859"/>
      <c r="K121" s="792"/>
      <c r="L121" s="860" t="str">
        <f>A121</f>
        <v>Kolom Lantai 8</v>
      </c>
      <c r="M121" s="858"/>
      <c r="N121" s="858"/>
      <c r="O121" s="858"/>
      <c r="P121" s="858"/>
      <c r="Q121" s="858"/>
      <c r="R121" s="858"/>
      <c r="S121" s="858"/>
      <c r="T121" s="858"/>
      <c r="U121" s="858"/>
      <c r="V121" s="861"/>
      <c r="W121" s="861"/>
      <c r="X121" s="861"/>
      <c r="Y121" s="861"/>
      <c r="Z121" s="861"/>
      <c r="AA121" s="859"/>
      <c r="AB121" s="859"/>
      <c r="AC121" s="858"/>
      <c r="AD121" s="862"/>
      <c r="AE121" s="862"/>
      <c r="AF121" s="859"/>
      <c r="AG121" s="859"/>
      <c r="AH121" s="859"/>
      <c r="AI121" s="859"/>
      <c r="AJ121" s="859"/>
      <c r="AK121" s="863"/>
      <c r="AL121" s="863"/>
      <c r="AM121" s="863"/>
      <c r="AN121" s="863"/>
      <c r="AO121" s="863"/>
      <c r="AP121" s="859"/>
      <c r="AQ121" s="859"/>
      <c r="AR121" s="859"/>
      <c r="AS121" s="859"/>
      <c r="AT121" s="859"/>
      <c r="AU121" s="861"/>
    </row>
    <row r="122" spans="1:47" ht="15.75" thickBot="1">
      <c r="A122" s="858">
        <v>1</v>
      </c>
      <c r="B122" s="858" t="s">
        <v>1019</v>
      </c>
      <c r="C122" s="858">
        <v>17</v>
      </c>
      <c r="D122" s="859">
        <v>0.7</v>
      </c>
      <c r="E122" s="859">
        <f>D122</f>
        <v>0.7</v>
      </c>
      <c r="F122" s="859">
        <v>3</v>
      </c>
      <c r="G122" s="858">
        <v>0.12</v>
      </c>
      <c r="H122" s="859">
        <f>F122-G122</f>
        <v>2.88</v>
      </c>
      <c r="I122" s="859">
        <f>H122*E122*D122*C122</f>
        <v>23.990400000000001</v>
      </c>
      <c r="J122" s="859">
        <f>(D122+D122+E122+E122)*H122*C122</f>
        <v>137.08799999999999</v>
      </c>
      <c r="K122" s="792"/>
      <c r="L122" s="858">
        <v>25</v>
      </c>
      <c r="M122" s="858">
        <v>19</v>
      </c>
      <c r="N122" s="858">
        <v>13</v>
      </c>
      <c r="O122" s="858"/>
      <c r="P122" s="858"/>
      <c r="Q122" s="858">
        <v>0.1</v>
      </c>
      <c r="R122" s="858">
        <v>0.15</v>
      </c>
      <c r="S122" s="858">
        <v>0.1</v>
      </c>
      <c r="T122" s="858">
        <v>8</v>
      </c>
      <c r="U122" s="858">
        <v>8</v>
      </c>
      <c r="V122" s="861">
        <f t="shared" ref="V122:V125" si="145">(H122/4)/Q122+1</f>
        <v>8.1999999999999993</v>
      </c>
      <c r="W122" s="861">
        <f t="shared" ref="W122:W125" si="146">(H122/2)/R122+1</f>
        <v>10.6</v>
      </c>
      <c r="X122" s="861">
        <f t="shared" ref="X122:X125" si="147">(H122/4)/S122+1</f>
        <v>8.1999999999999993</v>
      </c>
      <c r="Y122" s="861"/>
      <c r="Z122" s="861"/>
      <c r="AA122" s="859">
        <f>(H122)+(2*6*L122/1000)+(50*L122/1000)+(0.12)</f>
        <v>4.55</v>
      </c>
      <c r="AB122" s="859">
        <f>(H122)+(2*6*M122/1000)+(50*M122/1000)+(0.12)</f>
        <v>4.1779999999999999</v>
      </c>
      <c r="AC122" s="858">
        <f>(2*D122)+(2*E122)+(2*6*N122/1000)-(8*0.03)</f>
        <v>2.7160000000000002</v>
      </c>
      <c r="AD122" s="862">
        <f>(E122)+(2*6*O122/1000)-(2*0.03)</f>
        <v>0.6399999999999999</v>
      </c>
      <c r="AE122" s="862">
        <f>(D122)+(2*6*P122/1000)-(2*0.03)</f>
        <v>0.6399999999999999</v>
      </c>
      <c r="AF122" s="859">
        <f>AA122*T122*C122</f>
        <v>618.79999999999995</v>
      </c>
      <c r="AG122" s="859">
        <f>AB122*U122*C122</f>
        <v>568.20799999999997</v>
      </c>
      <c r="AH122" s="859">
        <f>AC122*(V122+W122+X122)*C122</f>
        <v>1246.6439999999998</v>
      </c>
      <c r="AI122" s="859"/>
      <c r="AJ122" s="859"/>
      <c r="AK122" s="863">
        <f t="shared" ref="AK122:AK125" si="148">L122*L122*0.074/12</f>
        <v>3.8541666666666665</v>
      </c>
      <c r="AL122" s="863">
        <f>M122*M122*0.074/12</f>
        <v>2.2261666666666664</v>
      </c>
      <c r="AM122" s="863">
        <f t="shared" ref="AM122:AM125" si="149">N122*N122*0.074/12</f>
        <v>1.0421666666666667</v>
      </c>
      <c r="AN122" s="863"/>
      <c r="AO122" s="863"/>
      <c r="AP122" s="859">
        <f>AF122*AK122</f>
        <v>2384.958333333333</v>
      </c>
      <c r="AQ122" s="859">
        <f>AG122*AL122</f>
        <v>1264.9257093333331</v>
      </c>
      <c r="AR122" s="859">
        <f>AH122*AM122</f>
        <v>1299.2108219999998</v>
      </c>
      <c r="AS122" s="859"/>
      <c r="AT122" s="859"/>
      <c r="AU122" s="861">
        <f t="shared" ref="AU122:AU125" si="150">SUM(AP122:AT122)/I122</f>
        <v>206.29480394935746</v>
      </c>
    </row>
    <row r="123" spans="1:47" ht="15.75" thickBot="1">
      <c r="A123" s="858">
        <v>2</v>
      </c>
      <c r="B123" s="858" t="s">
        <v>1020</v>
      </c>
      <c r="C123" s="858">
        <v>4</v>
      </c>
      <c r="D123" s="859">
        <v>0.9</v>
      </c>
      <c r="E123" s="859">
        <f>D123</f>
        <v>0.9</v>
      </c>
      <c r="F123" s="859">
        <v>3</v>
      </c>
      <c r="G123" s="858">
        <v>0.12</v>
      </c>
      <c r="H123" s="859">
        <f t="shared" ref="H123:H125" si="151">F123-G123</f>
        <v>2.88</v>
      </c>
      <c r="I123" s="859">
        <f t="shared" ref="I123:I125" si="152">H123*E123*D123*C123</f>
        <v>9.3312000000000008</v>
      </c>
      <c r="J123" s="859">
        <f t="shared" ref="J123:J125" si="153">(D123+D123+E123+E123)*H123*C123</f>
        <v>41.472000000000001</v>
      </c>
      <c r="K123" s="792"/>
      <c r="L123" s="858">
        <v>25</v>
      </c>
      <c r="M123" s="858"/>
      <c r="N123" s="858">
        <v>13</v>
      </c>
      <c r="O123" s="858"/>
      <c r="P123" s="858"/>
      <c r="Q123" s="858">
        <v>0.1</v>
      </c>
      <c r="R123" s="858">
        <v>0.15</v>
      </c>
      <c r="S123" s="858">
        <v>0.1</v>
      </c>
      <c r="T123" s="858">
        <v>16</v>
      </c>
      <c r="U123" s="858"/>
      <c r="V123" s="861">
        <f t="shared" si="145"/>
        <v>8.1999999999999993</v>
      </c>
      <c r="W123" s="861">
        <f t="shared" si="146"/>
        <v>10.6</v>
      </c>
      <c r="X123" s="861">
        <f t="shared" si="147"/>
        <v>8.1999999999999993</v>
      </c>
      <c r="Y123" s="861"/>
      <c r="Z123" s="861"/>
      <c r="AA123" s="859">
        <f t="shared" ref="AA123:AA125" si="154">(H123)+(2*6*L123/1000)+(50*L123/1000)+(0.12)</f>
        <v>4.55</v>
      </c>
      <c r="AB123" s="859"/>
      <c r="AC123" s="858">
        <f t="shared" ref="AC123:AC125" si="155">(2*D123)+(2*E123)+(2*6*N123/1000)-(8*0.03)</f>
        <v>3.516</v>
      </c>
      <c r="AD123" s="862">
        <f t="shared" ref="AD123:AD125" si="156">(E123)+(2*6*O123/1000)-(2*0.03)</f>
        <v>0.84000000000000008</v>
      </c>
      <c r="AE123" s="862">
        <f t="shared" ref="AE123:AE125" si="157">(D123)+(2*6*P123/1000)-(2*0.03)</f>
        <v>0.84000000000000008</v>
      </c>
      <c r="AF123" s="859">
        <f t="shared" ref="AF123:AF125" si="158">AA123*T123*C123</f>
        <v>291.2</v>
      </c>
      <c r="AG123" s="859"/>
      <c r="AH123" s="859">
        <f t="shared" ref="AH123:AH125" si="159">AC123*(V123+W123+X123)*C123</f>
        <v>379.72799999999995</v>
      </c>
      <c r="AI123" s="859"/>
      <c r="AJ123" s="859"/>
      <c r="AK123" s="863">
        <f t="shared" si="148"/>
        <v>3.8541666666666665</v>
      </c>
      <c r="AL123" s="863"/>
      <c r="AM123" s="863">
        <f t="shared" si="149"/>
        <v>1.0421666666666667</v>
      </c>
      <c r="AN123" s="863"/>
      <c r="AO123" s="863"/>
      <c r="AP123" s="859">
        <f t="shared" ref="AP123" si="160">AF123*AK123</f>
        <v>1122.3333333333333</v>
      </c>
      <c r="AQ123" s="859"/>
      <c r="AR123" s="859">
        <f t="shared" ref="AR123" si="161">AH123*AM123</f>
        <v>395.73986399999995</v>
      </c>
      <c r="AS123" s="859"/>
      <c r="AT123" s="859"/>
      <c r="AU123" s="861">
        <f t="shared" si="150"/>
        <v>162.68788551668951</v>
      </c>
    </row>
    <row r="124" spans="1:47" ht="15.75" thickBot="1">
      <c r="A124" s="858">
        <v>3</v>
      </c>
      <c r="B124" s="858" t="s">
        <v>1023</v>
      </c>
      <c r="C124" s="858">
        <v>4</v>
      </c>
      <c r="D124" s="859">
        <v>0.7</v>
      </c>
      <c r="E124" s="859">
        <f>D124</f>
        <v>0.7</v>
      </c>
      <c r="F124" s="859">
        <v>3</v>
      </c>
      <c r="G124" s="858">
        <v>0.12</v>
      </c>
      <c r="H124" s="859">
        <f t="shared" si="151"/>
        <v>2.88</v>
      </c>
      <c r="I124" s="859">
        <f t="shared" si="152"/>
        <v>5.6448</v>
      </c>
      <c r="J124" s="859">
        <f t="shared" si="153"/>
        <v>32.256</v>
      </c>
      <c r="K124" s="792"/>
      <c r="L124" s="858">
        <v>25</v>
      </c>
      <c r="M124" s="858"/>
      <c r="N124" s="858">
        <v>13</v>
      </c>
      <c r="O124" s="858"/>
      <c r="P124" s="858"/>
      <c r="Q124" s="858">
        <v>0.1</v>
      </c>
      <c r="R124" s="858">
        <v>0.15</v>
      </c>
      <c r="S124" s="858">
        <v>0.1</v>
      </c>
      <c r="T124" s="858">
        <v>4</v>
      </c>
      <c r="U124" s="858"/>
      <c r="V124" s="861">
        <f t="shared" si="145"/>
        <v>8.1999999999999993</v>
      </c>
      <c r="W124" s="861">
        <f t="shared" si="146"/>
        <v>10.6</v>
      </c>
      <c r="X124" s="861">
        <f t="shared" si="147"/>
        <v>8.1999999999999993</v>
      </c>
      <c r="Y124" s="861"/>
      <c r="Z124" s="861"/>
      <c r="AA124" s="859">
        <f t="shared" si="154"/>
        <v>4.55</v>
      </c>
      <c r="AB124" s="859"/>
      <c r="AC124" s="858">
        <f t="shared" si="155"/>
        <v>2.7160000000000002</v>
      </c>
      <c r="AD124" s="862">
        <f t="shared" si="156"/>
        <v>0.6399999999999999</v>
      </c>
      <c r="AE124" s="862">
        <f t="shared" si="157"/>
        <v>0.6399999999999999</v>
      </c>
      <c r="AF124" s="859">
        <f t="shared" si="158"/>
        <v>72.8</v>
      </c>
      <c r="AG124" s="859"/>
      <c r="AH124" s="859">
        <f t="shared" si="159"/>
        <v>293.32799999999997</v>
      </c>
      <c r="AI124" s="859"/>
      <c r="AJ124" s="859"/>
      <c r="AK124" s="863">
        <f t="shared" si="148"/>
        <v>3.8541666666666665</v>
      </c>
      <c r="AL124" s="863"/>
      <c r="AM124" s="863">
        <f t="shared" si="149"/>
        <v>1.0421666666666667</v>
      </c>
      <c r="AN124" s="863"/>
      <c r="AO124" s="863"/>
      <c r="AP124" s="859">
        <f>AF124*AK124</f>
        <v>280.58333333333331</v>
      </c>
      <c r="AQ124" s="859"/>
      <c r="AR124" s="859">
        <f>AH124*AM124</f>
        <v>305.696664</v>
      </c>
      <c r="AS124" s="859"/>
      <c r="AT124" s="859"/>
      <c r="AU124" s="861">
        <f t="shared" si="150"/>
        <v>103.86196097883598</v>
      </c>
    </row>
    <row r="125" spans="1:47" ht="15.75" thickBot="1">
      <c r="A125" s="858">
        <v>4</v>
      </c>
      <c r="B125" s="858" t="s">
        <v>1024</v>
      </c>
      <c r="C125" s="858">
        <v>2</v>
      </c>
      <c r="D125" s="859">
        <v>1.1000000000000001</v>
      </c>
      <c r="E125" s="859">
        <f>D125</f>
        <v>1.1000000000000001</v>
      </c>
      <c r="F125" s="859">
        <v>3</v>
      </c>
      <c r="G125" s="858">
        <v>0.12</v>
      </c>
      <c r="H125" s="859">
        <f t="shared" si="151"/>
        <v>2.88</v>
      </c>
      <c r="I125" s="859">
        <f t="shared" si="152"/>
        <v>6.9696000000000007</v>
      </c>
      <c r="J125" s="859">
        <f t="shared" si="153"/>
        <v>25.344000000000001</v>
      </c>
      <c r="K125" s="792"/>
      <c r="L125" s="858">
        <v>25</v>
      </c>
      <c r="M125" s="858"/>
      <c r="N125" s="858">
        <v>13</v>
      </c>
      <c r="O125" s="858"/>
      <c r="P125" s="858"/>
      <c r="Q125" s="858">
        <v>0.1</v>
      </c>
      <c r="R125" s="858">
        <v>0.15</v>
      </c>
      <c r="S125" s="858">
        <v>0.1</v>
      </c>
      <c r="T125" s="858">
        <v>4</v>
      </c>
      <c r="U125" s="858"/>
      <c r="V125" s="861">
        <f t="shared" si="145"/>
        <v>8.1999999999999993</v>
      </c>
      <c r="W125" s="861">
        <f t="shared" si="146"/>
        <v>10.6</v>
      </c>
      <c r="X125" s="861">
        <f t="shared" si="147"/>
        <v>8.1999999999999993</v>
      </c>
      <c r="Y125" s="861"/>
      <c r="Z125" s="861"/>
      <c r="AA125" s="859">
        <f t="shared" si="154"/>
        <v>4.55</v>
      </c>
      <c r="AB125" s="859"/>
      <c r="AC125" s="858">
        <f t="shared" si="155"/>
        <v>4.3159999999999998</v>
      </c>
      <c r="AD125" s="862">
        <f t="shared" si="156"/>
        <v>1.04</v>
      </c>
      <c r="AE125" s="862">
        <f t="shared" si="157"/>
        <v>1.04</v>
      </c>
      <c r="AF125" s="859">
        <f t="shared" si="158"/>
        <v>36.4</v>
      </c>
      <c r="AG125" s="859"/>
      <c r="AH125" s="859">
        <f t="shared" si="159"/>
        <v>233.06399999999996</v>
      </c>
      <c r="AI125" s="859"/>
      <c r="AJ125" s="859"/>
      <c r="AK125" s="863">
        <f t="shared" si="148"/>
        <v>3.8541666666666665</v>
      </c>
      <c r="AL125" s="863"/>
      <c r="AM125" s="863">
        <f t="shared" si="149"/>
        <v>1.0421666666666667</v>
      </c>
      <c r="AN125" s="863"/>
      <c r="AO125" s="863"/>
      <c r="AP125" s="859">
        <f>AF125*AK125</f>
        <v>140.29166666666666</v>
      </c>
      <c r="AQ125" s="859"/>
      <c r="AR125" s="859">
        <f>AH125*AM125</f>
        <v>242.89153199999996</v>
      </c>
      <c r="AS125" s="859"/>
      <c r="AT125" s="859"/>
      <c r="AU125" s="861">
        <f t="shared" si="150"/>
        <v>54.979223867462494</v>
      </c>
    </row>
    <row r="126" spans="1:47" ht="15.75" thickBot="1">
      <c r="A126" s="792"/>
      <c r="B126" s="792"/>
      <c r="C126" s="792"/>
      <c r="D126" s="794"/>
      <c r="E126" s="794"/>
      <c r="F126" s="794"/>
      <c r="G126" s="792"/>
      <c r="H126" s="792"/>
      <c r="I126" s="794"/>
      <c r="J126" s="794"/>
      <c r="K126" s="792"/>
      <c r="L126" s="858"/>
      <c r="M126" s="858"/>
      <c r="N126" s="858"/>
      <c r="O126" s="858"/>
      <c r="P126" s="858"/>
      <c r="Q126" s="858"/>
      <c r="R126" s="858"/>
      <c r="S126" s="858"/>
      <c r="T126" s="858"/>
      <c r="U126" s="858"/>
      <c r="V126" s="861"/>
      <c r="W126" s="861"/>
      <c r="X126" s="861"/>
      <c r="Y126" s="861"/>
      <c r="Z126" s="861"/>
      <c r="AA126" s="859"/>
      <c r="AB126" s="859"/>
      <c r="AC126" s="858"/>
      <c r="AD126" s="862"/>
      <c r="AE126" s="862"/>
      <c r="AF126" s="859"/>
      <c r="AG126" s="859"/>
      <c r="AH126" s="859"/>
      <c r="AI126" s="859"/>
      <c r="AJ126" s="859"/>
      <c r="AK126" s="863"/>
      <c r="AL126" s="863"/>
      <c r="AM126" s="863"/>
      <c r="AN126" s="863"/>
      <c r="AO126" s="863"/>
      <c r="AP126" s="859"/>
      <c r="AQ126" s="859"/>
      <c r="AR126" s="859"/>
      <c r="AS126" s="859"/>
      <c r="AT126" s="859"/>
      <c r="AU126" s="861"/>
    </row>
    <row r="127" spans="1:47">
      <c r="A127" s="796" t="s">
        <v>66</v>
      </c>
      <c r="B127" s="797" t="s">
        <v>983</v>
      </c>
      <c r="C127" s="797"/>
      <c r="D127" s="798" t="s">
        <v>984</v>
      </c>
      <c r="E127" s="798"/>
      <c r="F127" s="798"/>
      <c r="G127" s="799" t="s">
        <v>985</v>
      </c>
      <c r="H127" s="799" t="s">
        <v>986</v>
      </c>
      <c r="I127" s="798" t="s">
        <v>392</v>
      </c>
      <c r="J127" s="800" t="s">
        <v>377</v>
      </c>
      <c r="K127" s="792"/>
      <c r="L127" s="801" t="s">
        <v>987</v>
      </c>
      <c r="M127" s="802"/>
      <c r="N127" s="803" t="s">
        <v>988</v>
      </c>
      <c r="O127" s="803"/>
      <c r="P127" s="803"/>
      <c r="Q127" s="803" t="s">
        <v>989</v>
      </c>
      <c r="R127" s="803"/>
      <c r="S127" s="803"/>
      <c r="T127" s="804"/>
      <c r="U127" s="805"/>
      <c r="V127" s="806" t="s">
        <v>990</v>
      </c>
      <c r="W127" s="806"/>
      <c r="X127" s="806"/>
      <c r="Y127" s="806"/>
      <c r="Z127" s="806"/>
      <c r="AA127" s="807" t="s">
        <v>991</v>
      </c>
      <c r="AB127" s="808"/>
      <c r="AC127" s="809" t="s">
        <v>992</v>
      </c>
      <c r="AD127" s="809"/>
      <c r="AE127" s="809"/>
      <c r="AF127" s="810" t="s">
        <v>993</v>
      </c>
      <c r="AG127" s="811"/>
      <c r="AH127" s="798" t="s">
        <v>994</v>
      </c>
      <c r="AI127" s="798"/>
      <c r="AJ127" s="798"/>
      <c r="AK127" s="812" t="s">
        <v>995</v>
      </c>
      <c r="AL127" s="813"/>
      <c r="AM127" s="814" t="s">
        <v>996</v>
      </c>
      <c r="AN127" s="814"/>
      <c r="AO127" s="814"/>
      <c r="AP127" s="798" t="s">
        <v>997</v>
      </c>
      <c r="AQ127" s="798"/>
      <c r="AR127" s="798"/>
      <c r="AS127" s="798"/>
      <c r="AT127" s="798"/>
      <c r="AU127" s="815" t="s">
        <v>998</v>
      </c>
    </row>
    <row r="128" spans="1:47" ht="15.75" thickBot="1">
      <c r="A128" s="816"/>
      <c r="B128" s="817" t="s">
        <v>372</v>
      </c>
      <c r="C128" s="817" t="s">
        <v>372</v>
      </c>
      <c r="D128" s="818" t="s">
        <v>999</v>
      </c>
      <c r="E128" s="818" t="s">
        <v>1000</v>
      </c>
      <c r="F128" s="818" t="s">
        <v>1001</v>
      </c>
      <c r="G128" s="819" t="s">
        <v>1002</v>
      </c>
      <c r="H128" s="819" t="s">
        <v>1003</v>
      </c>
      <c r="I128" s="818"/>
      <c r="J128" s="820"/>
      <c r="K128" s="792"/>
      <c r="L128" s="821" t="s">
        <v>1006</v>
      </c>
      <c r="M128" s="822"/>
      <c r="N128" s="819" t="s">
        <v>1004</v>
      </c>
      <c r="O128" s="819" t="s">
        <v>1005</v>
      </c>
      <c r="P128" s="819"/>
      <c r="Q128" s="819" t="s">
        <v>1001</v>
      </c>
      <c r="R128" s="819" t="s">
        <v>1000</v>
      </c>
      <c r="S128" s="819" t="s">
        <v>1001</v>
      </c>
      <c r="T128" s="823" t="s">
        <v>1006</v>
      </c>
      <c r="U128" s="824"/>
      <c r="V128" s="825" t="s">
        <v>1007</v>
      </c>
      <c r="W128" s="825"/>
      <c r="X128" s="825"/>
      <c r="Y128" s="825" t="s">
        <v>1005</v>
      </c>
      <c r="Z128" s="825"/>
      <c r="AA128" s="826" t="s">
        <v>1008</v>
      </c>
      <c r="AB128" s="827"/>
      <c r="AC128" s="819" t="s">
        <v>1004</v>
      </c>
      <c r="AD128" s="828" t="s">
        <v>1005</v>
      </c>
      <c r="AE128" s="828"/>
      <c r="AF128" s="829" t="s">
        <v>1006</v>
      </c>
      <c r="AG128" s="830"/>
      <c r="AH128" s="818" t="s">
        <v>1004</v>
      </c>
      <c r="AI128" s="818" t="s">
        <v>1005</v>
      </c>
      <c r="AJ128" s="818"/>
      <c r="AK128" s="831" t="s">
        <v>1009</v>
      </c>
      <c r="AL128" s="832"/>
      <c r="AM128" s="833"/>
      <c r="AN128" s="833"/>
      <c r="AO128" s="833"/>
      <c r="AP128" s="818" t="s">
        <v>1006</v>
      </c>
      <c r="AQ128" s="818"/>
      <c r="AR128" s="818" t="s">
        <v>1010</v>
      </c>
      <c r="AS128" s="818"/>
      <c r="AT128" s="818"/>
      <c r="AU128" s="834" t="s">
        <v>1011</v>
      </c>
    </row>
    <row r="129" spans="1:47" ht="15.75" thickTop="1">
      <c r="A129" s="816"/>
      <c r="B129" s="817"/>
      <c r="C129" s="817"/>
      <c r="D129" s="818"/>
      <c r="E129" s="818"/>
      <c r="F129" s="818"/>
      <c r="G129" s="819"/>
      <c r="H129" s="819"/>
      <c r="I129" s="818"/>
      <c r="J129" s="820"/>
      <c r="K129" s="792"/>
      <c r="L129" s="835"/>
      <c r="M129" s="836"/>
      <c r="N129" s="819"/>
      <c r="O129" s="837" t="s">
        <v>494</v>
      </c>
      <c r="P129" s="837" t="s">
        <v>1012</v>
      </c>
      <c r="Q129" s="819"/>
      <c r="R129" s="819"/>
      <c r="S129" s="819"/>
      <c r="T129" s="838"/>
      <c r="U129" s="839"/>
      <c r="V129" s="840" t="s">
        <v>1001</v>
      </c>
      <c r="W129" s="840" t="s">
        <v>1000</v>
      </c>
      <c r="X129" s="840" t="s">
        <v>1001</v>
      </c>
      <c r="Y129" s="840" t="s">
        <v>494</v>
      </c>
      <c r="Z129" s="840" t="s">
        <v>1012</v>
      </c>
      <c r="AA129" s="841" t="s">
        <v>1013</v>
      </c>
      <c r="AB129" s="842"/>
      <c r="AC129" s="819"/>
      <c r="AD129" s="843" t="s">
        <v>494</v>
      </c>
      <c r="AE129" s="843" t="s">
        <v>1012</v>
      </c>
      <c r="AF129" s="844"/>
      <c r="AG129" s="842"/>
      <c r="AH129" s="818"/>
      <c r="AI129" s="845" t="s">
        <v>494</v>
      </c>
      <c r="AJ129" s="845" t="s">
        <v>1012</v>
      </c>
      <c r="AK129" s="846" t="s">
        <v>1013</v>
      </c>
      <c r="AL129" s="847"/>
      <c r="AM129" s="833"/>
      <c r="AN129" s="833"/>
      <c r="AO129" s="833"/>
      <c r="AP129" s="818"/>
      <c r="AQ129" s="818"/>
      <c r="AR129" s="818"/>
      <c r="AS129" s="818"/>
      <c r="AT129" s="818"/>
      <c r="AU129" s="834"/>
    </row>
    <row r="130" spans="1:47" ht="15.75" thickBot="1">
      <c r="A130" s="848"/>
      <c r="B130" s="817"/>
      <c r="C130" s="817"/>
      <c r="D130" s="849" t="s">
        <v>151</v>
      </c>
      <c r="E130" s="849"/>
      <c r="F130" s="849"/>
      <c r="G130" s="849"/>
      <c r="H130" s="849"/>
      <c r="I130" s="850" t="s">
        <v>1014</v>
      </c>
      <c r="J130" s="851" t="s">
        <v>1015</v>
      </c>
      <c r="K130" s="792"/>
      <c r="L130" s="848" t="s">
        <v>1016</v>
      </c>
      <c r="M130" s="852"/>
      <c r="N130" s="852" t="s">
        <v>1016</v>
      </c>
      <c r="O130" s="852"/>
      <c r="P130" s="852"/>
      <c r="Q130" s="852" t="s">
        <v>151</v>
      </c>
      <c r="R130" s="852"/>
      <c r="S130" s="852"/>
      <c r="T130" s="823" t="s">
        <v>34</v>
      </c>
      <c r="U130" s="853"/>
      <c r="V130" s="854" t="s">
        <v>34</v>
      </c>
      <c r="W130" s="854"/>
      <c r="X130" s="854"/>
      <c r="Y130" s="854"/>
      <c r="Z130" s="854"/>
      <c r="AA130" s="849" t="s">
        <v>151</v>
      </c>
      <c r="AB130" s="849"/>
      <c r="AC130" s="852" t="s">
        <v>151</v>
      </c>
      <c r="AD130" s="852"/>
      <c r="AE130" s="852"/>
      <c r="AF130" s="849" t="s">
        <v>151</v>
      </c>
      <c r="AG130" s="849"/>
      <c r="AH130" s="849" t="s">
        <v>151</v>
      </c>
      <c r="AI130" s="849"/>
      <c r="AJ130" s="849"/>
      <c r="AK130" s="855" t="s">
        <v>1017</v>
      </c>
      <c r="AL130" s="855"/>
      <c r="AM130" s="855"/>
      <c r="AN130" s="855"/>
      <c r="AO130" s="855"/>
      <c r="AP130" s="849" t="s">
        <v>7</v>
      </c>
      <c r="AQ130" s="849"/>
      <c r="AR130" s="849"/>
      <c r="AS130" s="849"/>
      <c r="AT130" s="849"/>
      <c r="AU130" s="856"/>
    </row>
    <row r="131" spans="1:47" ht="15.75" thickBot="1">
      <c r="A131" s="857" t="s">
        <v>1039</v>
      </c>
      <c r="B131" s="858"/>
      <c r="C131" s="858"/>
      <c r="D131" s="859"/>
      <c r="E131" s="859"/>
      <c r="F131" s="859"/>
      <c r="G131" s="858"/>
      <c r="H131" s="859"/>
      <c r="I131" s="859"/>
      <c r="J131" s="859"/>
      <c r="K131" s="792"/>
      <c r="L131" s="860" t="str">
        <f>A131</f>
        <v>Kolom Lantai 9</v>
      </c>
      <c r="M131" s="858"/>
      <c r="N131" s="858"/>
      <c r="O131" s="858"/>
      <c r="P131" s="858"/>
      <c r="Q131" s="858"/>
      <c r="R131" s="858"/>
      <c r="S131" s="858"/>
      <c r="T131" s="858"/>
      <c r="U131" s="858"/>
      <c r="V131" s="861"/>
      <c r="W131" s="861"/>
      <c r="X131" s="861"/>
      <c r="Y131" s="861"/>
      <c r="Z131" s="861"/>
      <c r="AA131" s="859"/>
      <c r="AB131" s="859"/>
      <c r="AC131" s="858"/>
      <c r="AD131" s="862"/>
      <c r="AE131" s="862"/>
      <c r="AF131" s="859"/>
      <c r="AG131" s="859"/>
      <c r="AH131" s="859"/>
      <c r="AI131" s="859"/>
      <c r="AJ131" s="859"/>
      <c r="AK131" s="863"/>
      <c r="AL131" s="863"/>
      <c r="AM131" s="863"/>
      <c r="AN131" s="863"/>
      <c r="AO131" s="863"/>
      <c r="AP131" s="859"/>
      <c r="AQ131" s="859"/>
      <c r="AR131" s="859"/>
      <c r="AS131" s="859"/>
      <c r="AT131" s="859"/>
      <c r="AU131" s="861"/>
    </row>
    <row r="132" spans="1:47" ht="15.75" thickBot="1">
      <c r="A132" s="858">
        <v>1</v>
      </c>
      <c r="B132" s="858" t="s">
        <v>1019</v>
      </c>
      <c r="C132" s="858">
        <v>17</v>
      </c>
      <c r="D132" s="859">
        <v>0.7</v>
      </c>
      <c r="E132" s="859">
        <f>D132</f>
        <v>0.7</v>
      </c>
      <c r="F132" s="859">
        <v>3</v>
      </c>
      <c r="G132" s="858">
        <v>0.12</v>
      </c>
      <c r="H132" s="859">
        <f>F132-G132</f>
        <v>2.88</v>
      </c>
      <c r="I132" s="859">
        <f>H132*E132*D132*C132</f>
        <v>23.990400000000001</v>
      </c>
      <c r="J132" s="859">
        <f>(D132+D132+E132+E132)*H132*C132</f>
        <v>137.08799999999999</v>
      </c>
      <c r="K132" s="792"/>
      <c r="L132" s="858">
        <v>25</v>
      </c>
      <c r="M132" s="858">
        <v>19</v>
      </c>
      <c r="N132" s="858">
        <v>13</v>
      </c>
      <c r="O132" s="858"/>
      <c r="P132" s="858"/>
      <c r="Q132" s="858">
        <v>0.1</v>
      </c>
      <c r="R132" s="858">
        <v>0.15</v>
      </c>
      <c r="S132" s="858">
        <v>0.1</v>
      </c>
      <c r="T132" s="858">
        <v>8</v>
      </c>
      <c r="U132" s="858">
        <v>8</v>
      </c>
      <c r="V132" s="861">
        <f t="shared" ref="V132:V135" si="162">(H132/4)/Q132+1</f>
        <v>8.1999999999999993</v>
      </c>
      <c r="W132" s="861">
        <f t="shared" ref="W132:W135" si="163">(H132/2)/R132+1</f>
        <v>10.6</v>
      </c>
      <c r="X132" s="861">
        <f t="shared" ref="X132:X135" si="164">(H132/4)/S132+1</f>
        <v>8.1999999999999993</v>
      </c>
      <c r="Y132" s="861"/>
      <c r="Z132" s="861"/>
      <c r="AA132" s="859">
        <f>(H132)+(2*6*L132/1000)+(50*L132/1000)+(0.12)</f>
        <v>4.55</v>
      </c>
      <c r="AB132" s="859">
        <f>(H132)+(2*6*M132/1000)+(50*M132/1000)+(0.12)</f>
        <v>4.1779999999999999</v>
      </c>
      <c r="AC132" s="858">
        <f>(2*D132)+(2*E132)+(2*6*N132/1000)-(8*0.03)</f>
        <v>2.7160000000000002</v>
      </c>
      <c r="AD132" s="862">
        <f>(E132)+(2*6*O132/1000)-(2*0.03)</f>
        <v>0.6399999999999999</v>
      </c>
      <c r="AE132" s="862">
        <f>(D132)+(2*6*P132/1000)-(2*0.03)</f>
        <v>0.6399999999999999</v>
      </c>
      <c r="AF132" s="859">
        <f>AA132*T132*C132</f>
        <v>618.79999999999995</v>
      </c>
      <c r="AG132" s="859">
        <f>AB132*U132*C132</f>
        <v>568.20799999999997</v>
      </c>
      <c r="AH132" s="859">
        <f>AC132*(V132+W132+X132)*C132</f>
        <v>1246.6439999999998</v>
      </c>
      <c r="AI132" s="859"/>
      <c r="AJ132" s="859"/>
      <c r="AK132" s="863">
        <f t="shared" ref="AK132:AK135" si="165">L132*L132*0.074/12</f>
        <v>3.8541666666666665</v>
      </c>
      <c r="AL132" s="863">
        <f>M132*M132*0.074/12</f>
        <v>2.2261666666666664</v>
      </c>
      <c r="AM132" s="863">
        <f t="shared" ref="AM132:AM135" si="166">N132*N132*0.074/12</f>
        <v>1.0421666666666667</v>
      </c>
      <c r="AN132" s="863"/>
      <c r="AO132" s="863"/>
      <c r="AP132" s="859">
        <f>AF132*AK132</f>
        <v>2384.958333333333</v>
      </c>
      <c r="AQ132" s="859">
        <f>AG132*AL132</f>
        <v>1264.9257093333331</v>
      </c>
      <c r="AR132" s="859">
        <f>AH132*AM132</f>
        <v>1299.2108219999998</v>
      </c>
      <c r="AS132" s="859"/>
      <c r="AT132" s="859"/>
      <c r="AU132" s="861">
        <f t="shared" ref="AU132:AU135" si="167">SUM(AP132:AT132)/I132</f>
        <v>206.29480394935746</v>
      </c>
    </row>
    <row r="133" spans="1:47" ht="15.75" thickBot="1">
      <c r="A133" s="858">
        <v>2</v>
      </c>
      <c r="B133" s="858" t="s">
        <v>1020</v>
      </c>
      <c r="C133" s="858">
        <v>4</v>
      </c>
      <c r="D133" s="859">
        <v>0.9</v>
      </c>
      <c r="E133" s="859">
        <f>D133</f>
        <v>0.9</v>
      </c>
      <c r="F133" s="859">
        <v>3</v>
      </c>
      <c r="G133" s="858">
        <v>0.12</v>
      </c>
      <c r="H133" s="859">
        <f t="shared" ref="H133:H135" si="168">F133-G133</f>
        <v>2.88</v>
      </c>
      <c r="I133" s="859">
        <f t="shared" ref="I133:I135" si="169">H133*E133*D133*C133</f>
        <v>9.3312000000000008</v>
      </c>
      <c r="J133" s="859">
        <f t="shared" ref="J133:J135" si="170">(D133+D133+E133+E133)*H133*C133</f>
        <v>41.472000000000001</v>
      </c>
      <c r="K133" s="792"/>
      <c r="L133" s="858">
        <v>25</v>
      </c>
      <c r="M133" s="858"/>
      <c r="N133" s="858">
        <v>13</v>
      </c>
      <c r="O133" s="858"/>
      <c r="P133" s="858"/>
      <c r="Q133" s="858">
        <v>0.1</v>
      </c>
      <c r="R133" s="858">
        <v>0.15</v>
      </c>
      <c r="S133" s="858">
        <v>0.1</v>
      </c>
      <c r="T133" s="858">
        <v>16</v>
      </c>
      <c r="U133" s="858"/>
      <c r="V133" s="861">
        <f t="shared" si="162"/>
        <v>8.1999999999999993</v>
      </c>
      <c r="W133" s="861">
        <f t="shared" si="163"/>
        <v>10.6</v>
      </c>
      <c r="X133" s="861">
        <f t="shared" si="164"/>
        <v>8.1999999999999993</v>
      </c>
      <c r="Y133" s="861"/>
      <c r="Z133" s="861"/>
      <c r="AA133" s="859">
        <f t="shared" ref="AA133:AA135" si="171">(H133)+(2*6*L133/1000)+(50*L133/1000)+(0.12)</f>
        <v>4.55</v>
      </c>
      <c r="AB133" s="859"/>
      <c r="AC133" s="858">
        <f t="shared" ref="AC133:AC135" si="172">(2*D133)+(2*E133)+(2*6*N133/1000)-(8*0.03)</f>
        <v>3.516</v>
      </c>
      <c r="AD133" s="862">
        <f t="shared" ref="AD133:AD135" si="173">(E133)+(2*6*O133/1000)-(2*0.03)</f>
        <v>0.84000000000000008</v>
      </c>
      <c r="AE133" s="862">
        <f t="shared" ref="AE133:AE135" si="174">(D133)+(2*6*P133/1000)-(2*0.03)</f>
        <v>0.84000000000000008</v>
      </c>
      <c r="AF133" s="859">
        <f t="shared" ref="AF133:AF135" si="175">AA133*T133*C133</f>
        <v>291.2</v>
      </c>
      <c r="AG133" s="859"/>
      <c r="AH133" s="859">
        <f t="shared" ref="AH133:AH135" si="176">AC133*(V133+W133+X133)*C133</f>
        <v>379.72799999999995</v>
      </c>
      <c r="AI133" s="859"/>
      <c r="AJ133" s="859"/>
      <c r="AK133" s="863">
        <f t="shared" si="165"/>
        <v>3.8541666666666665</v>
      </c>
      <c r="AL133" s="863"/>
      <c r="AM133" s="863">
        <f t="shared" si="166"/>
        <v>1.0421666666666667</v>
      </c>
      <c r="AN133" s="863"/>
      <c r="AO133" s="863"/>
      <c r="AP133" s="859">
        <f t="shared" ref="AP133" si="177">AF133*AK133</f>
        <v>1122.3333333333333</v>
      </c>
      <c r="AQ133" s="859"/>
      <c r="AR133" s="859">
        <f t="shared" ref="AR133" si="178">AH133*AM133</f>
        <v>395.73986399999995</v>
      </c>
      <c r="AS133" s="859"/>
      <c r="AT133" s="859"/>
      <c r="AU133" s="861">
        <f t="shared" si="167"/>
        <v>162.68788551668951</v>
      </c>
    </row>
    <row r="134" spans="1:47" ht="15.75" thickBot="1">
      <c r="A134" s="858">
        <v>3</v>
      </c>
      <c r="B134" s="858" t="s">
        <v>1023</v>
      </c>
      <c r="C134" s="858">
        <v>4</v>
      </c>
      <c r="D134" s="859">
        <v>0.7</v>
      </c>
      <c r="E134" s="859">
        <f>D134</f>
        <v>0.7</v>
      </c>
      <c r="F134" s="859">
        <v>3</v>
      </c>
      <c r="G134" s="858">
        <v>0.12</v>
      </c>
      <c r="H134" s="859">
        <f t="shared" si="168"/>
        <v>2.88</v>
      </c>
      <c r="I134" s="859">
        <f t="shared" si="169"/>
        <v>5.6448</v>
      </c>
      <c r="J134" s="859">
        <f t="shared" si="170"/>
        <v>32.256</v>
      </c>
      <c r="K134" s="792"/>
      <c r="L134" s="858">
        <v>25</v>
      </c>
      <c r="M134" s="858"/>
      <c r="N134" s="858">
        <v>13</v>
      </c>
      <c r="O134" s="858"/>
      <c r="P134" s="858"/>
      <c r="Q134" s="858">
        <v>0.1</v>
      </c>
      <c r="R134" s="858">
        <v>0.15</v>
      </c>
      <c r="S134" s="858">
        <v>0.1</v>
      </c>
      <c r="T134" s="858">
        <v>4</v>
      </c>
      <c r="U134" s="858"/>
      <c r="V134" s="861">
        <f t="shared" si="162"/>
        <v>8.1999999999999993</v>
      </c>
      <c r="W134" s="861">
        <f t="shared" si="163"/>
        <v>10.6</v>
      </c>
      <c r="X134" s="861">
        <f t="shared" si="164"/>
        <v>8.1999999999999993</v>
      </c>
      <c r="Y134" s="861"/>
      <c r="Z134" s="861"/>
      <c r="AA134" s="859">
        <f t="shared" si="171"/>
        <v>4.55</v>
      </c>
      <c r="AB134" s="859"/>
      <c r="AC134" s="858">
        <f t="shared" si="172"/>
        <v>2.7160000000000002</v>
      </c>
      <c r="AD134" s="862">
        <f t="shared" si="173"/>
        <v>0.6399999999999999</v>
      </c>
      <c r="AE134" s="862">
        <f t="shared" si="174"/>
        <v>0.6399999999999999</v>
      </c>
      <c r="AF134" s="859">
        <f t="shared" si="175"/>
        <v>72.8</v>
      </c>
      <c r="AG134" s="859"/>
      <c r="AH134" s="859">
        <f t="shared" si="176"/>
        <v>293.32799999999997</v>
      </c>
      <c r="AI134" s="859"/>
      <c r="AJ134" s="859"/>
      <c r="AK134" s="863">
        <f t="shared" si="165"/>
        <v>3.8541666666666665</v>
      </c>
      <c r="AL134" s="863"/>
      <c r="AM134" s="863">
        <f t="shared" si="166"/>
        <v>1.0421666666666667</v>
      </c>
      <c r="AN134" s="863"/>
      <c r="AO134" s="863"/>
      <c r="AP134" s="859">
        <f>AF134*AK134</f>
        <v>280.58333333333331</v>
      </c>
      <c r="AQ134" s="859"/>
      <c r="AR134" s="859">
        <f>AH134*AM134</f>
        <v>305.696664</v>
      </c>
      <c r="AS134" s="859"/>
      <c r="AT134" s="859"/>
      <c r="AU134" s="861">
        <f t="shared" si="167"/>
        <v>103.86196097883598</v>
      </c>
    </row>
    <row r="135" spans="1:47" ht="15.75" thickBot="1">
      <c r="A135" s="858">
        <v>4</v>
      </c>
      <c r="B135" s="858" t="s">
        <v>1024</v>
      </c>
      <c r="C135" s="858">
        <v>2</v>
      </c>
      <c r="D135" s="859">
        <v>1</v>
      </c>
      <c r="E135" s="859">
        <f>D135</f>
        <v>1</v>
      </c>
      <c r="F135" s="859">
        <v>3</v>
      </c>
      <c r="G135" s="858">
        <v>0.12</v>
      </c>
      <c r="H135" s="859">
        <f t="shared" si="168"/>
        <v>2.88</v>
      </c>
      <c r="I135" s="859">
        <f t="shared" si="169"/>
        <v>5.76</v>
      </c>
      <c r="J135" s="859">
        <f t="shared" si="170"/>
        <v>23.04</v>
      </c>
      <c r="K135" s="792"/>
      <c r="L135" s="858">
        <v>25</v>
      </c>
      <c r="M135" s="858"/>
      <c r="N135" s="858">
        <v>13</v>
      </c>
      <c r="O135" s="858"/>
      <c r="P135" s="858"/>
      <c r="Q135" s="858">
        <v>0.1</v>
      </c>
      <c r="R135" s="858">
        <v>0.15</v>
      </c>
      <c r="S135" s="858">
        <v>0.1</v>
      </c>
      <c r="T135" s="858">
        <v>4</v>
      </c>
      <c r="U135" s="858"/>
      <c r="V135" s="861">
        <f t="shared" si="162"/>
        <v>8.1999999999999993</v>
      </c>
      <c r="W135" s="861">
        <f t="shared" si="163"/>
        <v>10.6</v>
      </c>
      <c r="X135" s="861">
        <f t="shared" si="164"/>
        <v>8.1999999999999993</v>
      </c>
      <c r="Y135" s="861"/>
      <c r="Z135" s="861"/>
      <c r="AA135" s="859">
        <f t="shared" si="171"/>
        <v>4.55</v>
      </c>
      <c r="AB135" s="859"/>
      <c r="AC135" s="858">
        <f t="shared" si="172"/>
        <v>3.9159999999999995</v>
      </c>
      <c r="AD135" s="862">
        <f t="shared" si="173"/>
        <v>0.94</v>
      </c>
      <c r="AE135" s="862">
        <f t="shared" si="174"/>
        <v>0.94</v>
      </c>
      <c r="AF135" s="859">
        <f t="shared" si="175"/>
        <v>36.4</v>
      </c>
      <c r="AG135" s="859"/>
      <c r="AH135" s="859">
        <f t="shared" si="176"/>
        <v>211.46399999999994</v>
      </c>
      <c r="AI135" s="859"/>
      <c r="AJ135" s="859"/>
      <c r="AK135" s="863">
        <f t="shared" si="165"/>
        <v>3.8541666666666665</v>
      </c>
      <c r="AL135" s="863"/>
      <c r="AM135" s="863">
        <f t="shared" si="166"/>
        <v>1.0421666666666667</v>
      </c>
      <c r="AN135" s="863"/>
      <c r="AO135" s="863"/>
      <c r="AP135" s="859">
        <f>AF135*AK135</f>
        <v>140.29166666666666</v>
      </c>
      <c r="AQ135" s="859"/>
      <c r="AR135" s="859">
        <f>AH135*AM135</f>
        <v>220.38073199999994</v>
      </c>
      <c r="AS135" s="859"/>
      <c r="AT135" s="859"/>
      <c r="AU135" s="861">
        <f t="shared" si="167"/>
        <v>62.616735879629623</v>
      </c>
    </row>
    <row r="136" spans="1:47" ht="15.75" thickBot="1">
      <c r="A136" s="792"/>
      <c r="B136" s="792"/>
      <c r="C136" s="792"/>
      <c r="D136" s="794"/>
      <c r="E136" s="794"/>
      <c r="F136" s="794"/>
      <c r="G136" s="792"/>
      <c r="H136" s="792"/>
      <c r="I136" s="794"/>
      <c r="J136" s="794"/>
      <c r="K136" s="792"/>
      <c r="L136" s="858"/>
      <c r="M136" s="858"/>
      <c r="N136" s="858"/>
      <c r="O136" s="858"/>
      <c r="P136" s="858"/>
      <c r="Q136" s="858"/>
      <c r="R136" s="858"/>
      <c r="S136" s="858"/>
      <c r="T136" s="858"/>
      <c r="U136" s="858"/>
      <c r="V136" s="861"/>
      <c r="W136" s="861"/>
      <c r="X136" s="861"/>
      <c r="Y136" s="861"/>
      <c r="Z136" s="861"/>
      <c r="AA136" s="859"/>
      <c r="AB136" s="859"/>
      <c r="AC136" s="858"/>
      <c r="AD136" s="862"/>
      <c r="AE136" s="862"/>
      <c r="AF136" s="859"/>
      <c r="AG136" s="859"/>
      <c r="AH136" s="859"/>
      <c r="AI136" s="859"/>
      <c r="AJ136" s="859"/>
      <c r="AK136" s="863"/>
      <c r="AL136" s="863"/>
      <c r="AM136" s="863"/>
      <c r="AN136" s="863"/>
      <c r="AO136" s="863"/>
      <c r="AP136" s="859"/>
      <c r="AQ136" s="859"/>
      <c r="AR136" s="859"/>
      <c r="AS136" s="859"/>
      <c r="AT136" s="859"/>
      <c r="AU136" s="861"/>
    </row>
    <row r="137" spans="1:47">
      <c r="A137" s="901" t="s">
        <v>66</v>
      </c>
      <c r="B137" s="797" t="s">
        <v>983</v>
      </c>
      <c r="C137" s="797"/>
      <c r="D137" s="902" t="s">
        <v>984</v>
      </c>
      <c r="E137" s="903"/>
      <c r="F137" s="904"/>
      <c r="G137" s="799" t="s">
        <v>985</v>
      </c>
      <c r="H137" s="799" t="s">
        <v>986</v>
      </c>
      <c r="I137" s="905" t="s">
        <v>392</v>
      </c>
      <c r="J137" s="906" t="s">
        <v>377</v>
      </c>
      <c r="K137" s="792"/>
      <c r="L137" s="801" t="s">
        <v>987</v>
      </c>
      <c r="M137" s="802"/>
      <c r="N137" s="803" t="s">
        <v>988</v>
      </c>
      <c r="O137" s="803"/>
      <c r="P137" s="803"/>
      <c r="Q137" s="803" t="s">
        <v>989</v>
      </c>
      <c r="R137" s="803"/>
      <c r="S137" s="803"/>
      <c r="T137" s="804"/>
      <c r="U137" s="805"/>
      <c r="V137" s="806" t="s">
        <v>990</v>
      </c>
      <c r="W137" s="806"/>
      <c r="X137" s="806"/>
      <c r="Y137" s="806"/>
      <c r="Z137" s="806"/>
      <c r="AA137" s="807" t="s">
        <v>991</v>
      </c>
      <c r="AB137" s="808"/>
      <c r="AC137" s="809" t="s">
        <v>992</v>
      </c>
      <c r="AD137" s="809"/>
      <c r="AE137" s="809"/>
      <c r="AF137" s="810" t="s">
        <v>993</v>
      </c>
      <c r="AG137" s="811"/>
      <c r="AH137" s="798" t="s">
        <v>994</v>
      </c>
      <c r="AI137" s="798"/>
      <c r="AJ137" s="798"/>
      <c r="AK137" s="812" t="s">
        <v>995</v>
      </c>
      <c r="AL137" s="813"/>
      <c r="AM137" s="814" t="s">
        <v>996</v>
      </c>
      <c r="AN137" s="814"/>
      <c r="AO137" s="814"/>
      <c r="AP137" s="798" t="s">
        <v>997</v>
      </c>
      <c r="AQ137" s="798"/>
      <c r="AR137" s="798"/>
      <c r="AS137" s="798"/>
      <c r="AT137" s="798"/>
      <c r="AU137" s="815" t="s">
        <v>998</v>
      </c>
    </row>
    <row r="138" spans="1:47" ht="15.75" thickBot="1">
      <c r="A138" s="907"/>
      <c r="B138" s="817" t="s">
        <v>372</v>
      </c>
      <c r="C138" s="817" t="s">
        <v>372</v>
      </c>
      <c r="D138" s="849" t="s">
        <v>999</v>
      </c>
      <c r="E138" s="849" t="s">
        <v>1000</v>
      </c>
      <c r="F138" s="849" t="s">
        <v>1001</v>
      </c>
      <c r="G138" s="852" t="s">
        <v>1002</v>
      </c>
      <c r="H138" s="852" t="s">
        <v>1003</v>
      </c>
      <c r="I138" s="908"/>
      <c r="J138" s="909"/>
      <c r="K138" s="792"/>
      <c r="L138" s="821" t="s">
        <v>1006</v>
      </c>
      <c r="M138" s="822"/>
      <c r="N138" s="819" t="s">
        <v>1004</v>
      </c>
      <c r="O138" s="819" t="s">
        <v>1005</v>
      </c>
      <c r="P138" s="819"/>
      <c r="Q138" s="819" t="s">
        <v>1001</v>
      </c>
      <c r="R138" s="819" t="s">
        <v>1000</v>
      </c>
      <c r="S138" s="819" t="s">
        <v>1001</v>
      </c>
      <c r="T138" s="823" t="s">
        <v>1006</v>
      </c>
      <c r="U138" s="824"/>
      <c r="V138" s="825" t="s">
        <v>1007</v>
      </c>
      <c r="W138" s="825"/>
      <c r="X138" s="825"/>
      <c r="Y138" s="825" t="s">
        <v>1005</v>
      </c>
      <c r="Z138" s="825"/>
      <c r="AA138" s="826" t="s">
        <v>1008</v>
      </c>
      <c r="AB138" s="827"/>
      <c r="AC138" s="819" t="s">
        <v>1004</v>
      </c>
      <c r="AD138" s="828" t="s">
        <v>1005</v>
      </c>
      <c r="AE138" s="828"/>
      <c r="AF138" s="829" t="s">
        <v>1006</v>
      </c>
      <c r="AG138" s="830"/>
      <c r="AH138" s="818" t="s">
        <v>1004</v>
      </c>
      <c r="AI138" s="818" t="s">
        <v>1005</v>
      </c>
      <c r="AJ138" s="818"/>
      <c r="AK138" s="831" t="s">
        <v>1009</v>
      </c>
      <c r="AL138" s="832"/>
      <c r="AM138" s="833"/>
      <c r="AN138" s="833"/>
      <c r="AO138" s="833"/>
      <c r="AP138" s="818" t="s">
        <v>1006</v>
      </c>
      <c r="AQ138" s="818"/>
      <c r="AR138" s="818" t="s">
        <v>1010</v>
      </c>
      <c r="AS138" s="818"/>
      <c r="AT138" s="818"/>
      <c r="AU138" s="834" t="s">
        <v>1011</v>
      </c>
    </row>
    <row r="139" spans="1:47" ht="15.75" thickTop="1">
      <c r="A139" s="907"/>
      <c r="B139" s="817"/>
      <c r="C139" s="817"/>
      <c r="D139" s="883"/>
      <c r="E139" s="883"/>
      <c r="F139" s="883"/>
      <c r="G139" s="874"/>
      <c r="H139" s="874"/>
      <c r="I139" s="883"/>
      <c r="J139" s="885"/>
      <c r="K139" s="792"/>
      <c r="L139" s="835"/>
      <c r="M139" s="836"/>
      <c r="N139" s="819"/>
      <c r="O139" s="837" t="s">
        <v>494</v>
      </c>
      <c r="P139" s="837" t="s">
        <v>1012</v>
      </c>
      <c r="Q139" s="819"/>
      <c r="R139" s="819"/>
      <c r="S139" s="819"/>
      <c r="T139" s="838"/>
      <c r="U139" s="839"/>
      <c r="V139" s="840" t="s">
        <v>1001</v>
      </c>
      <c r="W139" s="840" t="s">
        <v>1000</v>
      </c>
      <c r="X139" s="840" t="s">
        <v>1001</v>
      </c>
      <c r="Y139" s="840" t="s">
        <v>494</v>
      </c>
      <c r="Z139" s="840" t="s">
        <v>1012</v>
      </c>
      <c r="AA139" s="841" t="s">
        <v>1013</v>
      </c>
      <c r="AB139" s="842"/>
      <c r="AC139" s="819"/>
      <c r="AD139" s="843" t="s">
        <v>494</v>
      </c>
      <c r="AE139" s="843" t="s">
        <v>1012</v>
      </c>
      <c r="AF139" s="844"/>
      <c r="AG139" s="842"/>
      <c r="AH139" s="818"/>
      <c r="AI139" s="845" t="s">
        <v>494</v>
      </c>
      <c r="AJ139" s="845" t="s">
        <v>1012</v>
      </c>
      <c r="AK139" s="846" t="s">
        <v>1013</v>
      </c>
      <c r="AL139" s="847"/>
      <c r="AM139" s="833"/>
      <c r="AN139" s="833"/>
      <c r="AO139" s="833"/>
      <c r="AP139" s="818"/>
      <c r="AQ139" s="818"/>
      <c r="AR139" s="818"/>
      <c r="AS139" s="818"/>
      <c r="AT139" s="818"/>
      <c r="AU139" s="834"/>
    </row>
    <row r="140" spans="1:47" ht="15.75" thickBot="1">
      <c r="A140" s="907"/>
      <c r="B140" s="817"/>
      <c r="C140" s="817"/>
      <c r="D140" s="910" t="s">
        <v>151</v>
      </c>
      <c r="E140" s="911"/>
      <c r="F140" s="911"/>
      <c r="G140" s="911"/>
      <c r="H140" s="912"/>
      <c r="I140" s="850" t="s">
        <v>1014</v>
      </c>
      <c r="J140" s="913" t="s">
        <v>1015</v>
      </c>
      <c r="K140" s="866"/>
      <c r="L140" s="824" t="s">
        <v>1016</v>
      </c>
      <c r="M140" s="852"/>
      <c r="N140" s="852" t="s">
        <v>1016</v>
      </c>
      <c r="O140" s="852"/>
      <c r="P140" s="852"/>
      <c r="Q140" s="852" t="s">
        <v>151</v>
      </c>
      <c r="R140" s="852"/>
      <c r="S140" s="852"/>
      <c r="T140" s="823" t="s">
        <v>34</v>
      </c>
      <c r="U140" s="853"/>
      <c r="V140" s="854" t="s">
        <v>34</v>
      </c>
      <c r="W140" s="854"/>
      <c r="X140" s="854"/>
      <c r="Y140" s="854"/>
      <c r="Z140" s="854"/>
      <c r="AA140" s="849" t="s">
        <v>151</v>
      </c>
      <c r="AB140" s="849"/>
      <c r="AC140" s="852" t="s">
        <v>151</v>
      </c>
      <c r="AD140" s="852"/>
      <c r="AE140" s="852"/>
      <c r="AF140" s="849" t="s">
        <v>151</v>
      </c>
      <c r="AG140" s="849"/>
      <c r="AH140" s="849" t="s">
        <v>151</v>
      </c>
      <c r="AI140" s="849"/>
      <c r="AJ140" s="849"/>
      <c r="AK140" s="855" t="s">
        <v>1017</v>
      </c>
      <c r="AL140" s="855"/>
      <c r="AM140" s="855"/>
      <c r="AN140" s="855"/>
      <c r="AO140" s="855"/>
      <c r="AP140" s="849" t="s">
        <v>7</v>
      </c>
      <c r="AQ140" s="849"/>
      <c r="AR140" s="849"/>
      <c r="AS140" s="849"/>
      <c r="AT140" s="849"/>
      <c r="AU140" s="856"/>
    </row>
    <row r="141" spans="1:47" ht="15.75" thickBot="1">
      <c r="A141" s="857" t="s">
        <v>1040</v>
      </c>
      <c r="B141" s="858"/>
      <c r="C141" s="858"/>
      <c r="D141" s="859"/>
      <c r="E141" s="859"/>
      <c r="F141" s="859"/>
      <c r="G141" s="858"/>
      <c r="H141" s="859"/>
      <c r="I141" s="859"/>
      <c r="J141" s="859"/>
      <c r="K141" s="792"/>
      <c r="L141" s="860" t="str">
        <f>A141</f>
        <v>Kolom Lantai 10</v>
      </c>
      <c r="M141" s="858"/>
      <c r="N141" s="858"/>
      <c r="O141" s="858"/>
      <c r="P141" s="858"/>
      <c r="Q141" s="858"/>
      <c r="R141" s="858"/>
      <c r="S141" s="858"/>
      <c r="T141" s="858"/>
      <c r="U141" s="858"/>
      <c r="V141" s="861"/>
      <c r="W141" s="861"/>
      <c r="X141" s="861"/>
      <c r="Y141" s="861"/>
      <c r="Z141" s="861"/>
      <c r="AA141" s="859"/>
      <c r="AB141" s="859"/>
      <c r="AC141" s="858"/>
      <c r="AD141" s="862"/>
      <c r="AE141" s="862"/>
      <c r="AF141" s="859"/>
      <c r="AG141" s="859"/>
      <c r="AH141" s="859"/>
      <c r="AI141" s="859"/>
      <c r="AJ141" s="859"/>
      <c r="AK141" s="863"/>
      <c r="AL141" s="863"/>
      <c r="AM141" s="863"/>
      <c r="AN141" s="863"/>
      <c r="AO141" s="863"/>
      <c r="AP141" s="859"/>
      <c r="AQ141" s="859"/>
      <c r="AR141" s="859"/>
      <c r="AS141" s="859"/>
      <c r="AT141" s="859"/>
      <c r="AU141" s="861"/>
    </row>
    <row r="142" spans="1:47" ht="15.75" thickBot="1">
      <c r="A142" s="858">
        <v>1</v>
      </c>
      <c r="B142" s="858" t="s">
        <v>1019</v>
      </c>
      <c r="C142" s="858">
        <v>17</v>
      </c>
      <c r="D142" s="859">
        <v>0.6</v>
      </c>
      <c r="E142" s="859">
        <f>D142</f>
        <v>0.6</v>
      </c>
      <c r="F142" s="859">
        <v>3</v>
      </c>
      <c r="G142" s="858">
        <v>0.12</v>
      </c>
      <c r="H142" s="859">
        <f>F142-G142</f>
        <v>2.88</v>
      </c>
      <c r="I142" s="859">
        <f>H142*E142*D142*C142</f>
        <v>17.625599999999999</v>
      </c>
      <c r="J142" s="859">
        <f>(D142+D142+E142+E142)*H142*C142</f>
        <v>117.504</v>
      </c>
      <c r="K142" s="792"/>
      <c r="L142" s="858">
        <v>25</v>
      </c>
      <c r="M142" s="858">
        <v>19</v>
      </c>
      <c r="N142" s="858">
        <v>13</v>
      </c>
      <c r="O142" s="858"/>
      <c r="P142" s="858"/>
      <c r="Q142" s="858">
        <v>0.1</v>
      </c>
      <c r="R142" s="858">
        <v>0.15</v>
      </c>
      <c r="S142" s="858">
        <v>0.1</v>
      </c>
      <c r="T142" s="858">
        <v>8</v>
      </c>
      <c r="U142" s="858">
        <v>8</v>
      </c>
      <c r="V142" s="861">
        <f t="shared" ref="V142:V145" si="179">(H142/4)/Q142+1</f>
        <v>8.1999999999999993</v>
      </c>
      <c r="W142" s="861">
        <f t="shared" ref="W142:W145" si="180">(H142/2)/R142+1</f>
        <v>10.6</v>
      </c>
      <c r="X142" s="861">
        <f t="shared" ref="X142:X145" si="181">(H142/4)/S142+1</f>
        <v>8.1999999999999993</v>
      </c>
      <c r="Y142" s="861"/>
      <c r="Z142" s="861"/>
      <c r="AA142" s="859">
        <f>(H142)+(2*6*L142/1000)+(50*L142/1000)+(0.12)</f>
        <v>4.55</v>
      </c>
      <c r="AB142" s="859">
        <f>(H142)+(2*6*M142/1000)+(50*M142/1000)+(0.12)</f>
        <v>4.1779999999999999</v>
      </c>
      <c r="AC142" s="858">
        <f>(2*D142)+(2*E142)+(2*6*N142/1000)-(8*0.03)</f>
        <v>2.3159999999999998</v>
      </c>
      <c r="AD142" s="862">
        <f>(E142)+(2*6*O142/1000)-(2*0.03)</f>
        <v>0.54</v>
      </c>
      <c r="AE142" s="862">
        <f>(D142)+(2*6*P142/1000)-(2*0.03)</f>
        <v>0.54</v>
      </c>
      <c r="AF142" s="859">
        <f>AA142*T142*C142</f>
        <v>618.79999999999995</v>
      </c>
      <c r="AG142" s="859">
        <f>AB142*U142*C142</f>
        <v>568.20799999999997</v>
      </c>
      <c r="AH142" s="859">
        <f>AC142*(V142+W142+X142)*C142</f>
        <v>1063.0439999999999</v>
      </c>
      <c r="AI142" s="859"/>
      <c r="AJ142" s="859"/>
      <c r="AK142" s="863">
        <f t="shared" ref="AK142:AK145" si="182">L142*L142*0.074/12</f>
        <v>3.8541666666666665</v>
      </c>
      <c r="AL142" s="863">
        <f>M142*M142*0.074/12</f>
        <v>2.2261666666666664</v>
      </c>
      <c r="AM142" s="863">
        <f t="shared" ref="AM142:AM145" si="183">N142*N142*0.074/12</f>
        <v>1.0421666666666667</v>
      </c>
      <c r="AN142" s="863"/>
      <c r="AO142" s="863"/>
      <c r="AP142" s="859">
        <f>AF142*AK142</f>
        <v>2384.958333333333</v>
      </c>
      <c r="AQ142" s="859">
        <f>AG142*AL142</f>
        <v>1264.9257093333331</v>
      </c>
      <c r="AR142" s="859">
        <f>AH142*AM142</f>
        <v>1107.8690219999999</v>
      </c>
      <c r="AS142" s="859"/>
      <c r="AT142" s="859"/>
      <c r="AU142" s="861">
        <f t="shared" ref="AU142:AU145" si="184">SUM(AP142:AT142)/I142</f>
        <v>269.93424704218103</v>
      </c>
    </row>
    <row r="143" spans="1:47" ht="15.75" thickBot="1">
      <c r="A143" s="858">
        <v>2</v>
      </c>
      <c r="B143" s="858" t="s">
        <v>1020</v>
      </c>
      <c r="C143" s="858">
        <v>4</v>
      </c>
      <c r="D143" s="859">
        <v>0.8</v>
      </c>
      <c r="E143" s="859">
        <f>D143</f>
        <v>0.8</v>
      </c>
      <c r="F143" s="859">
        <v>3</v>
      </c>
      <c r="G143" s="858">
        <v>0.12</v>
      </c>
      <c r="H143" s="859">
        <f t="shared" ref="H143:H145" si="185">F143-G143</f>
        <v>2.88</v>
      </c>
      <c r="I143" s="859">
        <f t="shared" ref="I143:I145" si="186">H143*E143*D143*C143</f>
        <v>7.3727999999999998</v>
      </c>
      <c r="J143" s="859">
        <f t="shared" ref="J143:J145" si="187">(D143+D143+E143+E143)*H143*C143</f>
        <v>36.863999999999997</v>
      </c>
      <c r="K143" s="792"/>
      <c r="L143" s="858">
        <v>25</v>
      </c>
      <c r="M143" s="858"/>
      <c r="N143" s="858">
        <v>13</v>
      </c>
      <c r="O143" s="858"/>
      <c r="P143" s="858"/>
      <c r="Q143" s="858">
        <v>0.1</v>
      </c>
      <c r="R143" s="858">
        <v>0.15</v>
      </c>
      <c r="S143" s="858">
        <v>0.1</v>
      </c>
      <c r="T143" s="858">
        <v>16</v>
      </c>
      <c r="U143" s="858"/>
      <c r="V143" s="861">
        <f t="shared" si="179"/>
        <v>8.1999999999999993</v>
      </c>
      <c r="W143" s="861">
        <f t="shared" si="180"/>
        <v>10.6</v>
      </c>
      <c r="X143" s="861">
        <f t="shared" si="181"/>
        <v>8.1999999999999993</v>
      </c>
      <c r="Y143" s="861"/>
      <c r="Z143" s="861"/>
      <c r="AA143" s="859">
        <f t="shared" ref="AA143:AA145" si="188">(H143)+(2*6*L143/1000)+(50*L143/1000)+(0.12)</f>
        <v>4.55</v>
      </c>
      <c r="AB143" s="859"/>
      <c r="AC143" s="858">
        <f t="shared" ref="AC143:AC145" si="189">(2*D143)+(2*E143)+(2*6*N143/1000)-(8*0.03)</f>
        <v>3.1160000000000005</v>
      </c>
      <c r="AD143" s="862">
        <f t="shared" ref="AD143:AD145" si="190">(E143)+(2*6*O143/1000)-(2*0.03)</f>
        <v>0.74</v>
      </c>
      <c r="AE143" s="862">
        <f t="shared" ref="AE143:AE145" si="191">(D143)+(2*6*P143/1000)-(2*0.03)</f>
        <v>0.74</v>
      </c>
      <c r="AF143" s="859">
        <f t="shared" ref="AF143:AF145" si="192">AA143*T143*C143</f>
        <v>291.2</v>
      </c>
      <c r="AG143" s="859"/>
      <c r="AH143" s="859">
        <f t="shared" ref="AH143:AH145" si="193">AC143*(V143+W143+X143)*C143</f>
        <v>336.52800000000002</v>
      </c>
      <c r="AI143" s="859"/>
      <c r="AJ143" s="859"/>
      <c r="AK143" s="863">
        <f t="shared" si="182"/>
        <v>3.8541666666666665</v>
      </c>
      <c r="AL143" s="863"/>
      <c r="AM143" s="863">
        <f t="shared" si="183"/>
        <v>1.0421666666666667</v>
      </c>
      <c r="AN143" s="863"/>
      <c r="AO143" s="863"/>
      <c r="AP143" s="859">
        <f t="shared" ref="AP143" si="194">AF143*AK143</f>
        <v>1122.3333333333333</v>
      </c>
      <c r="AQ143" s="859"/>
      <c r="AR143" s="859">
        <f t="shared" ref="AR143" si="195">AH143*AM143</f>
        <v>350.71826400000003</v>
      </c>
      <c r="AS143" s="859"/>
      <c r="AT143" s="859"/>
      <c r="AU143" s="861">
        <f t="shared" si="184"/>
        <v>199.79540979456019</v>
      </c>
    </row>
    <row r="144" spans="1:47" ht="15.75" thickBot="1">
      <c r="A144" s="858">
        <v>3</v>
      </c>
      <c r="B144" s="858" t="s">
        <v>1023</v>
      </c>
      <c r="C144" s="858">
        <v>4</v>
      </c>
      <c r="D144" s="859">
        <v>0.6</v>
      </c>
      <c r="E144" s="859">
        <f>D144</f>
        <v>0.6</v>
      </c>
      <c r="F144" s="859">
        <v>3</v>
      </c>
      <c r="G144" s="858">
        <v>0.12</v>
      </c>
      <c r="H144" s="859">
        <f t="shared" si="185"/>
        <v>2.88</v>
      </c>
      <c r="I144" s="859">
        <f t="shared" si="186"/>
        <v>4.1471999999999998</v>
      </c>
      <c r="J144" s="859">
        <f t="shared" si="187"/>
        <v>27.648</v>
      </c>
      <c r="K144" s="792"/>
      <c r="L144" s="858">
        <v>25</v>
      </c>
      <c r="M144" s="858"/>
      <c r="N144" s="858">
        <v>13</v>
      </c>
      <c r="O144" s="858"/>
      <c r="P144" s="858"/>
      <c r="Q144" s="858">
        <v>0.1</v>
      </c>
      <c r="R144" s="858">
        <v>0.15</v>
      </c>
      <c r="S144" s="858">
        <v>0.1</v>
      </c>
      <c r="T144" s="858">
        <v>4</v>
      </c>
      <c r="U144" s="858"/>
      <c r="V144" s="861">
        <f t="shared" si="179"/>
        <v>8.1999999999999993</v>
      </c>
      <c r="W144" s="861">
        <f t="shared" si="180"/>
        <v>10.6</v>
      </c>
      <c r="X144" s="861">
        <f t="shared" si="181"/>
        <v>8.1999999999999993</v>
      </c>
      <c r="Y144" s="861"/>
      <c r="Z144" s="861"/>
      <c r="AA144" s="859">
        <f t="shared" si="188"/>
        <v>4.55</v>
      </c>
      <c r="AB144" s="859"/>
      <c r="AC144" s="858">
        <f t="shared" si="189"/>
        <v>2.3159999999999998</v>
      </c>
      <c r="AD144" s="862">
        <f t="shared" si="190"/>
        <v>0.54</v>
      </c>
      <c r="AE144" s="862">
        <f t="shared" si="191"/>
        <v>0.54</v>
      </c>
      <c r="AF144" s="859">
        <f t="shared" si="192"/>
        <v>72.8</v>
      </c>
      <c r="AG144" s="859"/>
      <c r="AH144" s="859">
        <f t="shared" si="193"/>
        <v>250.12799999999996</v>
      </c>
      <c r="AI144" s="859"/>
      <c r="AJ144" s="859"/>
      <c r="AK144" s="863">
        <f t="shared" si="182"/>
        <v>3.8541666666666665</v>
      </c>
      <c r="AL144" s="863"/>
      <c r="AM144" s="863">
        <f t="shared" si="183"/>
        <v>1.0421666666666667</v>
      </c>
      <c r="AN144" s="863"/>
      <c r="AO144" s="863"/>
      <c r="AP144" s="859">
        <f>AF144*AK144</f>
        <v>280.58333333333331</v>
      </c>
      <c r="AQ144" s="859"/>
      <c r="AR144" s="859">
        <f>AH144*AM144</f>
        <v>260.67506399999996</v>
      </c>
      <c r="AS144" s="859"/>
      <c r="AT144" s="859"/>
      <c r="AU144" s="861">
        <f t="shared" si="184"/>
        <v>130.51176633230452</v>
      </c>
    </row>
    <row r="145" spans="1:47" ht="15.75" thickBot="1">
      <c r="A145" s="858">
        <v>4</v>
      </c>
      <c r="B145" s="858" t="s">
        <v>1024</v>
      </c>
      <c r="C145" s="858">
        <v>2</v>
      </c>
      <c r="D145" s="859">
        <v>1</v>
      </c>
      <c r="E145" s="859">
        <f>D145</f>
        <v>1</v>
      </c>
      <c r="F145" s="859">
        <v>3</v>
      </c>
      <c r="G145" s="858">
        <v>0.12</v>
      </c>
      <c r="H145" s="859">
        <f t="shared" si="185"/>
        <v>2.88</v>
      </c>
      <c r="I145" s="859">
        <f t="shared" si="186"/>
        <v>5.76</v>
      </c>
      <c r="J145" s="859">
        <f t="shared" si="187"/>
        <v>23.04</v>
      </c>
      <c r="K145" s="792"/>
      <c r="L145" s="858">
        <v>25</v>
      </c>
      <c r="M145" s="858"/>
      <c r="N145" s="858">
        <v>13</v>
      </c>
      <c r="O145" s="858"/>
      <c r="P145" s="858"/>
      <c r="Q145" s="858">
        <v>0.1</v>
      </c>
      <c r="R145" s="858">
        <v>0.15</v>
      </c>
      <c r="S145" s="858">
        <v>0.1</v>
      </c>
      <c r="T145" s="858">
        <v>4</v>
      </c>
      <c r="U145" s="858"/>
      <c r="V145" s="861">
        <f t="shared" si="179"/>
        <v>8.1999999999999993</v>
      </c>
      <c r="W145" s="861">
        <f t="shared" si="180"/>
        <v>10.6</v>
      </c>
      <c r="X145" s="861">
        <f t="shared" si="181"/>
        <v>8.1999999999999993</v>
      </c>
      <c r="Y145" s="861"/>
      <c r="Z145" s="861"/>
      <c r="AA145" s="859">
        <f t="shared" si="188"/>
        <v>4.55</v>
      </c>
      <c r="AB145" s="859"/>
      <c r="AC145" s="858">
        <f t="shared" si="189"/>
        <v>3.9159999999999995</v>
      </c>
      <c r="AD145" s="862">
        <f t="shared" si="190"/>
        <v>0.94</v>
      </c>
      <c r="AE145" s="862">
        <f t="shared" si="191"/>
        <v>0.94</v>
      </c>
      <c r="AF145" s="859">
        <f t="shared" si="192"/>
        <v>36.4</v>
      </c>
      <c r="AG145" s="859"/>
      <c r="AH145" s="859">
        <f t="shared" si="193"/>
        <v>211.46399999999994</v>
      </c>
      <c r="AI145" s="859"/>
      <c r="AJ145" s="859"/>
      <c r="AK145" s="863">
        <f t="shared" si="182"/>
        <v>3.8541666666666665</v>
      </c>
      <c r="AL145" s="863"/>
      <c r="AM145" s="863">
        <f t="shared" si="183"/>
        <v>1.0421666666666667</v>
      </c>
      <c r="AN145" s="863"/>
      <c r="AO145" s="863"/>
      <c r="AP145" s="859">
        <f>AF145*AK145</f>
        <v>140.29166666666666</v>
      </c>
      <c r="AQ145" s="859"/>
      <c r="AR145" s="859">
        <f>AH145*AM145</f>
        <v>220.38073199999994</v>
      </c>
      <c r="AS145" s="859"/>
      <c r="AT145" s="859"/>
      <c r="AU145" s="861">
        <f t="shared" si="184"/>
        <v>62.616735879629623</v>
      </c>
    </row>
    <row r="146" spans="1:47" ht="15.75" thickBot="1">
      <c r="A146" s="792"/>
      <c r="B146" s="792"/>
      <c r="C146" s="792"/>
      <c r="D146" s="794"/>
      <c r="E146" s="794"/>
      <c r="F146" s="794"/>
      <c r="G146" s="792"/>
      <c r="H146" s="792"/>
      <c r="I146" s="794"/>
      <c r="J146" s="794"/>
      <c r="K146" s="792"/>
      <c r="L146" s="858"/>
      <c r="M146" s="858"/>
      <c r="N146" s="858"/>
      <c r="O146" s="858"/>
      <c r="P146" s="858"/>
      <c r="Q146" s="858"/>
      <c r="R146" s="858"/>
      <c r="S146" s="858"/>
      <c r="T146" s="858"/>
      <c r="U146" s="858"/>
      <c r="V146" s="861"/>
      <c r="W146" s="861"/>
      <c r="X146" s="861"/>
      <c r="Y146" s="861"/>
      <c r="Z146" s="861"/>
      <c r="AA146" s="859"/>
      <c r="AB146" s="859"/>
      <c r="AC146" s="858"/>
      <c r="AD146" s="862"/>
      <c r="AE146" s="862"/>
      <c r="AF146" s="859"/>
      <c r="AG146" s="859"/>
      <c r="AH146" s="859"/>
      <c r="AI146" s="859"/>
      <c r="AJ146" s="859"/>
      <c r="AK146" s="863"/>
      <c r="AL146" s="863"/>
      <c r="AM146" s="863"/>
      <c r="AN146" s="863"/>
      <c r="AO146" s="863"/>
      <c r="AP146" s="859"/>
      <c r="AQ146" s="859"/>
      <c r="AR146" s="859"/>
      <c r="AS146" s="859"/>
      <c r="AT146" s="859"/>
      <c r="AU146" s="861"/>
    </row>
    <row r="147" spans="1:47">
      <c r="A147" s="796" t="s">
        <v>66</v>
      </c>
      <c r="B147" s="797" t="s">
        <v>983</v>
      </c>
      <c r="C147" s="797"/>
      <c r="D147" s="798" t="s">
        <v>984</v>
      </c>
      <c r="E147" s="798"/>
      <c r="F147" s="798"/>
      <c r="G147" s="799" t="s">
        <v>985</v>
      </c>
      <c r="H147" s="799" t="s">
        <v>986</v>
      </c>
      <c r="I147" s="798" t="s">
        <v>392</v>
      </c>
      <c r="J147" s="800" t="s">
        <v>377</v>
      </c>
      <c r="K147" s="792"/>
      <c r="L147" s="801" t="s">
        <v>987</v>
      </c>
      <c r="M147" s="802"/>
      <c r="N147" s="803" t="s">
        <v>988</v>
      </c>
      <c r="O147" s="803"/>
      <c r="P147" s="803"/>
      <c r="Q147" s="803" t="s">
        <v>989</v>
      </c>
      <c r="R147" s="803"/>
      <c r="S147" s="803"/>
      <c r="T147" s="804"/>
      <c r="U147" s="805"/>
      <c r="V147" s="806" t="s">
        <v>990</v>
      </c>
      <c r="W147" s="806"/>
      <c r="X147" s="806"/>
      <c r="Y147" s="806"/>
      <c r="Z147" s="806"/>
      <c r="AA147" s="807" t="s">
        <v>991</v>
      </c>
      <c r="AB147" s="808"/>
      <c r="AC147" s="809" t="s">
        <v>1030</v>
      </c>
      <c r="AD147" s="809"/>
      <c r="AE147" s="809"/>
      <c r="AF147" s="810" t="s">
        <v>993</v>
      </c>
      <c r="AG147" s="811"/>
      <c r="AH147" s="798" t="s">
        <v>994</v>
      </c>
      <c r="AI147" s="798"/>
      <c r="AJ147" s="798"/>
      <c r="AK147" s="812" t="s">
        <v>995</v>
      </c>
      <c r="AL147" s="813"/>
      <c r="AM147" s="814" t="s">
        <v>996</v>
      </c>
      <c r="AN147" s="814"/>
      <c r="AO147" s="814"/>
      <c r="AP147" s="798" t="s">
        <v>997</v>
      </c>
      <c r="AQ147" s="798"/>
      <c r="AR147" s="798"/>
      <c r="AS147" s="798"/>
      <c r="AT147" s="798"/>
      <c r="AU147" s="815" t="s">
        <v>998</v>
      </c>
    </row>
    <row r="148" spans="1:47" ht="15.75" thickBot="1">
      <c r="A148" s="816"/>
      <c r="B148" s="817" t="s">
        <v>372</v>
      </c>
      <c r="C148" s="817" t="s">
        <v>372</v>
      </c>
      <c r="D148" s="818" t="s">
        <v>999</v>
      </c>
      <c r="E148" s="818" t="s">
        <v>1000</v>
      </c>
      <c r="F148" s="818" t="s">
        <v>1001</v>
      </c>
      <c r="G148" s="819" t="s">
        <v>1002</v>
      </c>
      <c r="H148" s="819" t="s">
        <v>1003</v>
      </c>
      <c r="I148" s="818"/>
      <c r="J148" s="820"/>
      <c r="K148" s="792"/>
      <c r="L148" s="821" t="s">
        <v>1006</v>
      </c>
      <c r="M148" s="822"/>
      <c r="N148" s="819" t="s">
        <v>1004</v>
      </c>
      <c r="O148" s="819" t="s">
        <v>1005</v>
      </c>
      <c r="P148" s="819"/>
      <c r="Q148" s="819" t="s">
        <v>1001</v>
      </c>
      <c r="R148" s="819" t="s">
        <v>1000</v>
      </c>
      <c r="S148" s="819" t="s">
        <v>1001</v>
      </c>
      <c r="T148" s="823" t="s">
        <v>1006</v>
      </c>
      <c r="U148" s="824"/>
      <c r="V148" s="825" t="s">
        <v>1007</v>
      </c>
      <c r="W148" s="825"/>
      <c r="X148" s="825"/>
      <c r="Y148" s="825" t="s">
        <v>1005</v>
      </c>
      <c r="Z148" s="825"/>
      <c r="AA148" s="826" t="s">
        <v>1008</v>
      </c>
      <c r="AB148" s="827"/>
      <c r="AC148" s="819" t="s">
        <v>1004</v>
      </c>
      <c r="AD148" s="828" t="s">
        <v>1005</v>
      </c>
      <c r="AE148" s="828"/>
      <c r="AF148" s="829" t="s">
        <v>1006</v>
      </c>
      <c r="AG148" s="830"/>
      <c r="AH148" s="818" t="s">
        <v>1004</v>
      </c>
      <c r="AI148" s="818" t="s">
        <v>1005</v>
      </c>
      <c r="AJ148" s="818"/>
      <c r="AK148" s="831" t="s">
        <v>1009</v>
      </c>
      <c r="AL148" s="832"/>
      <c r="AM148" s="833"/>
      <c r="AN148" s="833"/>
      <c r="AO148" s="833"/>
      <c r="AP148" s="818" t="s">
        <v>1006</v>
      </c>
      <c r="AQ148" s="818"/>
      <c r="AR148" s="818" t="s">
        <v>1010</v>
      </c>
      <c r="AS148" s="818"/>
      <c r="AT148" s="818"/>
      <c r="AU148" s="834" t="s">
        <v>1011</v>
      </c>
    </row>
    <row r="149" spans="1:47" ht="15.75" thickTop="1">
      <c r="A149" s="816"/>
      <c r="B149" s="817"/>
      <c r="C149" s="817"/>
      <c r="D149" s="818"/>
      <c r="E149" s="818"/>
      <c r="F149" s="818"/>
      <c r="G149" s="819"/>
      <c r="H149" s="819"/>
      <c r="I149" s="818"/>
      <c r="J149" s="820"/>
      <c r="K149" s="792"/>
      <c r="L149" s="835"/>
      <c r="M149" s="836"/>
      <c r="N149" s="819"/>
      <c r="O149" s="837" t="s">
        <v>494</v>
      </c>
      <c r="P149" s="837" t="s">
        <v>1012</v>
      </c>
      <c r="Q149" s="819"/>
      <c r="R149" s="819"/>
      <c r="S149" s="819"/>
      <c r="T149" s="838"/>
      <c r="U149" s="839"/>
      <c r="V149" s="840" t="s">
        <v>1001</v>
      </c>
      <c r="W149" s="840" t="s">
        <v>1000</v>
      </c>
      <c r="X149" s="840" t="s">
        <v>1001</v>
      </c>
      <c r="Y149" s="840" t="s">
        <v>494</v>
      </c>
      <c r="Z149" s="840" t="s">
        <v>1012</v>
      </c>
      <c r="AA149" s="841" t="s">
        <v>1013</v>
      </c>
      <c r="AB149" s="842"/>
      <c r="AC149" s="819"/>
      <c r="AD149" s="843" t="s">
        <v>494</v>
      </c>
      <c r="AE149" s="843" t="s">
        <v>1012</v>
      </c>
      <c r="AF149" s="844"/>
      <c r="AG149" s="842"/>
      <c r="AH149" s="818"/>
      <c r="AI149" s="845" t="s">
        <v>494</v>
      </c>
      <c r="AJ149" s="845" t="s">
        <v>1012</v>
      </c>
      <c r="AK149" s="846" t="s">
        <v>1013</v>
      </c>
      <c r="AL149" s="847"/>
      <c r="AM149" s="833"/>
      <c r="AN149" s="833"/>
      <c r="AO149" s="833"/>
      <c r="AP149" s="818"/>
      <c r="AQ149" s="818"/>
      <c r="AR149" s="818"/>
      <c r="AS149" s="818"/>
      <c r="AT149" s="818"/>
      <c r="AU149" s="834"/>
    </row>
    <row r="150" spans="1:47" ht="15.75" thickBot="1">
      <c r="A150" s="848"/>
      <c r="B150" s="817"/>
      <c r="C150" s="817"/>
      <c r="D150" s="849" t="s">
        <v>151</v>
      </c>
      <c r="E150" s="849"/>
      <c r="F150" s="849"/>
      <c r="G150" s="849"/>
      <c r="H150" s="849"/>
      <c r="I150" s="850" t="s">
        <v>1014</v>
      </c>
      <c r="J150" s="851" t="s">
        <v>1015</v>
      </c>
      <c r="K150" s="792"/>
      <c r="L150" s="848" t="s">
        <v>1016</v>
      </c>
      <c r="M150" s="852"/>
      <c r="N150" s="852" t="s">
        <v>1016</v>
      </c>
      <c r="O150" s="852"/>
      <c r="P150" s="852"/>
      <c r="Q150" s="852" t="s">
        <v>151</v>
      </c>
      <c r="R150" s="852"/>
      <c r="S150" s="852"/>
      <c r="T150" s="823" t="s">
        <v>34</v>
      </c>
      <c r="U150" s="853"/>
      <c r="V150" s="854" t="s">
        <v>34</v>
      </c>
      <c r="W150" s="854"/>
      <c r="X150" s="854"/>
      <c r="Y150" s="854"/>
      <c r="Z150" s="854"/>
      <c r="AA150" s="849" t="s">
        <v>151</v>
      </c>
      <c r="AB150" s="849"/>
      <c r="AC150" s="852" t="s">
        <v>151</v>
      </c>
      <c r="AD150" s="852"/>
      <c r="AE150" s="852"/>
      <c r="AF150" s="849" t="s">
        <v>151</v>
      </c>
      <c r="AG150" s="849"/>
      <c r="AH150" s="849" t="s">
        <v>151</v>
      </c>
      <c r="AI150" s="849"/>
      <c r="AJ150" s="849"/>
      <c r="AK150" s="855" t="s">
        <v>1017</v>
      </c>
      <c r="AL150" s="855"/>
      <c r="AM150" s="855"/>
      <c r="AN150" s="855"/>
      <c r="AO150" s="855"/>
      <c r="AP150" s="849" t="s">
        <v>7</v>
      </c>
      <c r="AQ150" s="849"/>
      <c r="AR150" s="849"/>
      <c r="AS150" s="849"/>
      <c r="AT150" s="849"/>
      <c r="AU150" s="856"/>
    </row>
    <row r="151" spans="1:47" ht="15.75" thickBot="1">
      <c r="A151" s="857" t="s">
        <v>1041</v>
      </c>
      <c r="B151" s="858"/>
      <c r="C151" s="858"/>
      <c r="D151" s="859"/>
      <c r="E151" s="859"/>
      <c r="F151" s="859"/>
      <c r="G151" s="858"/>
      <c r="H151" s="859"/>
      <c r="I151" s="859"/>
      <c r="J151" s="859"/>
      <c r="K151" s="792"/>
      <c r="L151" s="860" t="str">
        <f>A151</f>
        <v>Kolom Lantai 11</v>
      </c>
      <c r="M151" s="858"/>
      <c r="N151" s="858"/>
      <c r="O151" s="858"/>
      <c r="P151" s="858"/>
      <c r="Q151" s="858"/>
      <c r="R151" s="858"/>
      <c r="S151" s="858"/>
      <c r="T151" s="858"/>
      <c r="U151" s="858"/>
      <c r="V151" s="861"/>
      <c r="W151" s="861"/>
      <c r="X151" s="861"/>
      <c r="Y151" s="861"/>
      <c r="Z151" s="861"/>
      <c r="AA151" s="859"/>
      <c r="AB151" s="859"/>
      <c r="AC151" s="858"/>
      <c r="AD151" s="862"/>
      <c r="AE151" s="862"/>
      <c r="AF151" s="859"/>
      <c r="AG151" s="859"/>
      <c r="AH151" s="859"/>
      <c r="AI151" s="859"/>
      <c r="AJ151" s="859"/>
      <c r="AK151" s="863"/>
      <c r="AL151" s="863"/>
      <c r="AM151" s="863"/>
      <c r="AN151" s="863"/>
      <c r="AO151" s="863"/>
      <c r="AP151" s="859"/>
      <c r="AQ151" s="859"/>
      <c r="AR151" s="859"/>
      <c r="AS151" s="859"/>
      <c r="AT151" s="859"/>
      <c r="AU151" s="861"/>
    </row>
    <row r="152" spans="1:47" ht="15.75" thickBot="1">
      <c r="A152" s="858">
        <v>1</v>
      </c>
      <c r="B152" s="858" t="s">
        <v>1019</v>
      </c>
      <c r="C152" s="858">
        <v>17</v>
      </c>
      <c r="D152" s="859">
        <v>0.6</v>
      </c>
      <c r="E152" s="859">
        <f>D152</f>
        <v>0.6</v>
      </c>
      <c r="F152" s="859">
        <v>3</v>
      </c>
      <c r="G152" s="858">
        <v>0.12</v>
      </c>
      <c r="H152" s="859">
        <f>F152-G152</f>
        <v>2.88</v>
      </c>
      <c r="I152" s="859">
        <f>H152*E152*D152*C152</f>
        <v>17.625599999999999</v>
      </c>
      <c r="J152" s="859">
        <f>(D152+D152+E152+E152)*H152*C152</f>
        <v>117.504</v>
      </c>
      <c r="K152" s="792"/>
      <c r="L152" s="858">
        <v>25</v>
      </c>
      <c r="M152" s="858">
        <v>19</v>
      </c>
      <c r="N152" s="858">
        <v>10</v>
      </c>
      <c r="O152" s="858"/>
      <c r="P152" s="858"/>
      <c r="Q152" s="858">
        <v>0.1</v>
      </c>
      <c r="R152" s="858">
        <v>0.15</v>
      </c>
      <c r="S152" s="858">
        <v>0.1</v>
      </c>
      <c r="T152" s="858">
        <v>8</v>
      </c>
      <c r="U152" s="858">
        <v>8</v>
      </c>
      <c r="V152" s="861">
        <f t="shared" ref="V152:V155" si="196">(H152/4)/Q152+1</f>
        <v>8.1999999999999993</v>
      </c>
      <c r="W152" s="861">
        <f t="shared" ref="W152:W155" si="197">(H152/2)/R152+1</f>
        <v>10.6</v>
      </c>
      <c r="X152" s="861">
        <f t="shared" ref="X152:X155" si="198">(H152/4)/S152+1</f>
        <v>8.1999999999999993</v>
      </c>
      <c r="Y152" s="861"/>
      <c r="Z152" s="861"/>
      <c r="AA152" s="859">
        <f>(H152)+(2*6*L152/1000)+(50*L152/1000)+(0.12)</f>
        <v>4.55</v>
      </c>
      <c r="AB152" s="859">
        <f>(H152)+(2*6*M152/1000)+(50*M152/1000)+(0.12)</f>
        <v>4.1779999999999999</v>
      </c>
      <c r="AC152" s="858">
        <f>(2*D152)+(2*E152)+(2*6*N152/1000)-(8*0.03)</f>
        <v>2.2800000000000002</v>
      </c>
      <c r="AD152" s="862">
        <f>(E152)+(2*6*O152/1000)-(2*0.03)</f>
        <v>0.54</v>
      </c>
      <c r="AE152" s="862">
        <f>(D152)+(2*6*P152/1000)-(2*0.03)</f>
        <v>0.54</v>
      </c>
      <c r="AF152" s="859">
        <f>AA152*T152*C152</f>
        <v>618.79999999999995</v>
      </c>
      <c r="AG152" s="859">
        <f>AB152*U152*C152</f>
        <v>568.20799999999997</v>
      </c>
      <c r="AH152" s="859">
        <f>AC152*(V152+W152+X152)*C152</f>
        <v>1046.52</v>
      </c>
      <c r="AI152" s="859"/>
      <c r="AJ152" s="859"/>
      <c r="AK152" s="863">
        <f t="shared" ref="AK152:AK155" si="199">L152*L152*0.074/12</f>
        <v>3.8541666666666665</v>
      </c>
      <c r="AL152" s="863">
        <f>M152*M152*0.074/12</f>
        <v>2.2261666666666664</v>
      </c>
      <c r="AM152" s="863">
        <f t="shared" ref="AM152:AM155" si="200">N152*N152*0.074/12</f>
        <v>0.61666666666666659</v>
      </c>
      <c r="AN152" s="863"/>
      <c r="AO152" s="863"/>
      <c r="AP152" s="859">
        <f>AF152*AK152</f>
        <v>2384.958333333333</v>
      </c>
      <c r="AQ152" s="859">
        <f>AG152*AL152</f>
        <v>1264.9257093333331</v>
      </c>
      <c r="AR152" s="859">
        <f>AH152*AM152</f>
        <v>645.35399999999993</v>
      </c>
      <c r="AS152" s="859"/>
      <c r="AT152" s="859"/>
      <c r="AU152" s="861">
        <f t="shared" ref="AU152:AU155" si="201">SUM(AP152:AT152)/I152</f>
        <v>243.69315329218105</v>
      </c>
    </row>
    <row r="153" spans="1:47" ht="15.75" thickBot="1">
      <c r="A153" s="858">
        <v>2</v>
      </c>
      <c r="B153" s="858" t="s">
        <v>1020</v>
      </c>
      <c r="C153" s="858">
        <v>4</v>
      </c>
      <c r="D153" s="859">
        <v>0.7</v>
      </c>
      <c r="E153" s="859">
        <f>D153</f>
        <v>0.7</v>
      </c>
      <c r="F153" s="859">
        <v>3</v>
      </c>
      <c r="G153" s="858">
        <v>0.12</v>
      </c>
      <c r="H153" s="859">
        <f t="shared" ref="H153:H155" si="202">F153-G153</f>
        <v>2.88</v>
      </c>
      <c r="I153" s="859">
        <f t="shared" ref="I153:I155" si="203">H153*E153*D153*C153</f>
        <v>5.6448</v>
      </c>
      <c r="J153" s="859">
        <f t="shared" ref="J153:J155" si="204">(D153+D153+E153+E153)*H153*C153</f>
        <v>32.256</v>
      </c>
      <c r="K153" s="792"/>
      <c r="L153" s="858">
        <v>19</v>
      </c>
      <c r="M153" s="858"/>
      <c r="N153" s="858">
        <v>10</v>
      </c>
      <c r="O153" s="858"/>
      <c r="P153" s="858"/>
      <c r="Q153" s="858">
        <v>0.1</v>
      </c>
      <c r="R153" s="858">
        <v>0.15</v>
      </c>
      <c r="S153" s="858">
        <v>0.1</v>
      </c>
      <c r="T153" s="858">
        <v>16</v>
      </c>
      <c r="U153" s="858"/>
      <c r="V153" s="861">
        <f t="shared" si="196"/>
        <v>8.1999999999999993</v>
      </c>
      <c r="W153" s="861">
        <f t="shared" si="197"/>
        <v>10.6</v>
      </c>
      <c r="X153" s="861">
        <f t="shared" si="198"/>
        <v>8.1999999999999993</v>
      </c>
      <c r="Y153" s="861"/>
      <c r="Z153" s="861"/>
      <c r="AA153" s="859">
        <f t="shared" ref="AA153:AA155" si="205">(H153)+(2*6*L153/1000)+(50*L153/1000)+(0.12)</f>
        <v>4.1779999999999999</v>
      </c>
      <c r="AB153" s="859"/>
      <c r="AC153" s="858">
        <f t="shared" ref="AC153:AC155" si="206">(2*D153)+(2*E153)+(2*6*N153/1000)-(8*0.03)</f>
        <v>2.6799999999999997</v>
      </c>
      <c r="AD153" s="862">
        <f t="shared" ref="AD153:AD155" si="207">(E153)+(2*6*O153/1000)-(2*0.03)</f>
        <v>0.6399999999999999</v>
      </c>
      <c r="AE153" s="862">
        <f t="shared" ref="AE153:AE155" si="208">(D153)+(2*6*P153/1000)-(2*0.03)</f>
        <v>0.6399999999999999</v>
      </c>
      <c r="AF153" s="859">
        <f t="shared" ref="AF153:AF155" si="209">AA153*T153*C153</f>
        <v>267.392</v>
      </c>
      <c r="AG153" s="859"/>
      <c r="AH153" s="859">
        <f t="shared" ref="AH153:AH155" si="210">AC153*(V153+W153+X153)*C153</f>
        <v>289.43999999999994</v>
      </c>
      <c r="AI153" s="859"/>
      <c r="AJ153" s="859"/>
      <c r="AK153" s="863">
        <f t="shared" si="199"/>
        <v>2.2261666666666664</v>
      </c>
      <c r="AL153" s="863"/>
      <c r="AM153" s="863">
        <f t="shared" si="200"/>
        <v>0.61666666666666659</v>
      </c>
      <c r="AN153" s="863"/>
      <c r="AO153" s="863"/>
      <c r="AP153" s="859">
        <f t="shared" ref="AP153" si="211">AF153*AK153</f>
        <v>595.25915733333329</v>
      </c>
      <c r="AQ153" s="859"/>
      <c r="AR153" s="859">
        <f t="shared" ref="AR153" si="212">AH153*AM153</f>
        <v>178.48799999999994</v>
      </c>
      <c r="AS153" s="859"/>
      <c r="AT153" s="859"/>
      <c r="AU153" s="861">
        <f t="shared" si="201"/>
        <v>137.07255479969763</v>
      </c>
    </row>
    <row r="154" spans="1:47" ht="15.75" thickBot="1">
      <c r="A154" s="858">
        <v>3</v>
      </c>
      <c r="B154" s="858" t="s">
        <v>1023</v>
      </c>
      <c r="C154" s="858">
        <v>4</v>
      </c>
      <c r="D154" s="859">
        <v>0.6</v>
      </c>
      <c r="E154" s="859">
        <f>D154</f>
        <v>0.6</v>
      </c>
      <c r="F154" s="859">
        <v>3</v>
      </c>
      <c r="G154" s="858">
        <v>0.12</v>
      </c>
      <c r="H154" s="859">
        <f t="shared" si="202"/>
        <v>2.88</v>
      </c>
      <c r="I154" s="859">
        <f t="shared" si="203"/>
        <v>4.1471999999999998</v>
      </c>
      <c r="J154" s="859">
        <f t="shared" si="204"/>
        <v>27.648</v>
      </c>
      <c r="K154" s="792"/>
      <c r="L154" s="858">
        <v>25</v>
      </c>
      <c r="M154" s="858"/>
      <c r="N154" s="858">
        <v>10</v>
      </c>
      <c r="O154" s="858"/>
      <c r="P154" s="858"/>
      <c r="Q154" s="858">
        <v>0.1</v>
      </c>
      <c r="R154" s="858">
        <v>0.15</v>
      </c>
      <c r="S154" s="858">
        <v>0.1</v>
      </c>
      <c r="T154" s="858">
        <v>16</v>
      </c>
      <c r="U154" s="858"/>
      <c r="V154" s="861">
        <f t="shared" si="196"/>
        <v>8.1999999999999993</v>
      </c>
      <c r="W154" s="861">
        <f t="shared" si="197"/>
        <v>10.6</v>
      </c>
      <c r="X154" s="861">
        <f t="shared" si="198"/>
        <v>8.1999999999999993</v>
      </c>
      <c r="Y154" s="861"/>
      <c r="Z154" s="861"/>
      <c r="AA154" s="859">
        <f t="shared" si="205"/>
        <v>4.55</v>
      </c>
      <c r="AB154" s="859"/>
      <c r="AC154" s="858">
        <f t="shared" si="206"/>
        <v>2.2800000000000002</v>
      </c>
      <c r="AD154" s="862">
        <f t="shared" si="207"/>
        <v>0.54</v>
      </c>
      <c r="AE154" s="862">
        <f t="shared" si="208"/>
        <v>0.54</v>
      </c>
      <c r="AF154" s="859">
        <f t="shared" si="209"/>
        <v>291.2</v>
      </c>
      <c r="AG154" s="859"/>
      <c r="AH154" s="859">
        <f t="shared" si="210"/>
        <v>246.23999999999998</v>
      </c>
      <c r="AI154" s="859"/>
      <c r="AJ154" s="859"/>
      <c r="AK154" s="863">
        <f t="shared" si="199"/>
        <v>3.8541666666666665</v>
      </c>
      <c r="AL154" s="863"/>
      <c r="AM154" s="863">
        <f t="shared" si="200"/>
        <v>0.61666666666666659</v>
      </c>
      <c r="AN154" s="863"/>
      <c r="AO154" s="863"/>
      <c r="AP154" s="859">
        <f>AF154*AK154</f>
        <v>1122.3333333333333</v>
      </c>
      <c r="AQ154" s="859"/>
      <c r="AR154" s="859">
        <f>AH154*AM154</f>
        <v>151.84799999999996</v>
      </c>
      <c r="AS154" s="859"/>
      <c r="AT154" s="859"/>
      <c r="AU154" s="861">
        <f t="shared" si="201"/>
        <v>307.23894032921811</v>
      </c>
    </row>
    <row r="155" spans="1:47" ht="15.75" thickBot="1">
      <c r="A155" s="858">
        <v>4</v>
      </c>
      <c r="B155" s="858" t="s">
        <v>1024</v>
      </c>
      <c r="C155" s="858">
        <v>2</v>
      </c>
      <c r="D155" s="859">
        <v>0.9</v>
      </c>
      <c r="E155" s="859">
        <f>D155</f>
        <v>0.9</v>
      </c>
      <c r="F155" s="859">
        <v>3</v>
      </c>
      <c r="G155" s="858">
        <v>0.12</v>
      </c>
      <c r="H155" s="859">
        <f t="shared" si="202"/>
        <v>2.88</v>
      </c>
      <c r="I155" s="859">
        <f t="shared" si="203"/>
        <v>4.6656000000000004</v>
      </c>
      <c r="J155" s="859">
        <f t="shared" si="204"/>
        <v>20.736000000000001</v>
      </c>
      <c r="K155" s="792"/>
      <c r="L155" s="858">
        <v>25</v>
      </c>
      <c r="M155" s="858"/>
      <c r="N155" s="858">
        <v>10</v>
      </c>
      <c r="O155" s="858"/>
      <c r="P155" s="858"/>
      <c r="Q155" s="858">
        <v>0.1</v>
      </c>
      <c r="R155" s="858">
        <v>0.15</v>
      </c>
      <c r="S155" s="858">
        <v>0.1</v>
      </c>
      <c r="T155" s="858">
        <v>24</v>
      </c>
      <c r="U155" s="858"/>
      <c r="V155" s="861">
        <f t="shared" si="196"/>
        <v>8.1999999999999993</v>
      </c>
      <c r="W155" s="861">
        <f t="shared" si="197"/>
        <v>10.6</v>
      </c>
      <c r="X155" s="861">
        <f t="shared" si="198"/>
        <v>8.1999999999999993</v>
      </c>
      <c r="Y155" s="861"/>
      <c r="Z155" s="861"/>
      <c r="AA155" s="859">
        <f t="shared" si="205"/>
        <v>4.55</v>
      </c>
      <c r="AB155" s="859"/>
      <c r="AC155" s="858">
        <f t="shared" si="206"/>
        <v>3.4800000000000004</v>
      </c>
      <c r="AD155" s="862">
        <f t="shared" si="207"/>
        <v>0.84000000000000008</v>
      </c>
      <c r="AE155" s="862">
        <f t="shared" si="208"/>
        <v>0.84000000000000008</v>
      </c>
      <c r="AF155" s="859">
        <f t="shared" si="209"/>
        <v>218.39999999999998</v>
      </c>
      <c r="AG155" s="859"/>
      <c r="AH155" s="859">
        <f t="shared" si="210"/>
        <v>187.92</v>
      </c>
      <c r="AI155" s="859"/>
      <c r="AJ155" s="859"/>
      <c r="AK155" s="863">
        <f t="shared" si="199"/>
        <v>3.8541666666666665</v>
      </c>
      <c r="AL155" s="863"/>
      <c r="AM155" s="863">
        <f t="shared" si="200"/>
        <v>0.61666666666666659</v>
      </c>
      <c r="AN155" s="863"/>
      <c r="AO155" s="863"/>
      <c r="AP155" s="859">
        <f>AF155*AK155</f>
        <v>841.74999999999989</v>
      </c>
      <c r="AQ155" s="859"/>
      <c r="AR155" s="859">
        <f>AH155*AM155</f>
        <v>115.88399999999997</v>
      </c>
      <c r="AS155" s="859"/>
      <c r="AT155" s="859"/>
      <c r="AU155" s="861">
        <f t="shared" si="201"/>
        <v>205.25420096021944</v>
      </c>
    </row>
    <row r="156" spans="1:47" ht="15.75" thickBot="1">
      <c r="A156" s="792"/>
      <c r="B156" s="792"/>
      <c r="C156" s="792"/>
      <c r="D156" s="794"/>
      <c r="E156" s="794"/>
      <c r="F156" s="794"/>
      <c r="G156" s="792"/>
      <c r="H156" s="792"/>
      <c r="I156" s="794"/>
      <c r="J156" s="794"/>
      <c r="K156" s="792"/>
      <c r="L156" s="858"/>
      <c r="M156" s="858"/>
      <c r="N156" s="858"/>
      <c r="O156" s="858"/>
      <c r="P156" s="858"/>
      <c r="Q156" s="858"/>
      <c r="R156" s="858"/>
      <c r="S156" s="858"/>
      <c r="T156" s="858"/>
      <c r="U156" s="858"/>
      <c r="V156" s="861"/>
      <c r="W156" s="861"/>
      <c r="X156" s="861"/>
      <c r="Y156" s="861"/>
      <c r="Z156" s="861"/>
      <c r="AA156" s="859"/>
      <c r="AB156" s="859"/>
      <c r="AC156" s="858"/>
      <c r="AD156" s="862"/>
      <c r="AE156" s="862"/>
      <c r="AF156" s="859"/>
      <c r="AG156" s="859"/>
      <c r="AH156" s="859"/>
      <c r="AI156" s="859"/>
      <c r="AJ156" s="859"/>
      <c r="AK156" s="863"/>
      <c r="AL156" s="863"/>
      <c r="AM156" s="863"/>
      <c r="AN156" s="863"/>
      <c r="AO156" s="863"/>
      <c r="AP156" s="859"/>
      <c r="AQ156" s="859"/>
      <c r="AR156" s="859"/>
      <c r="AS156" s="859"/>
      <c r="AT156" s="859"/>
      <c r="AU156" s="861"/>
    </row>
    <row r="157" spans="1:47">
      <c r="A157" s="796" t="s">
        <v>66</v>
      </c>
      <c r="B157" s="797" t="s">
        <v>983</v>
      </c>
      <c r="C157" s="797"/>
      <c r="D157" s="798" t="s">
        <v>984</v>
      </c>
      <c r="E157" s="798"/>
      <c r="F157" s="798"/>
      <c r="G157" s="799" t="s">
        <v>985</v>
      </c>
      <c r="H157" s="799" t="s">
        <v>986</v>
      </c>
      <c r="I157" s="798" t="s">
        <v>392</v>
      </c>
      <c r="J157" s="800" t="s">
        <v>377</v>
      </c>
      <c r="K157" s="792"/>
      <c r="L157" s="914" t="s">
        <v>987</v>
      </c>
      <c r="M157" s="802"/>
      <c r="N157" s="803" t="s">
        <v>988</v>
      </c>
      <c r="O157" s="803"/>
      <c r="P157" s="803"/>
      <c r="Q157" s="803" t="s">
        <v>989</v>
      </c>
      <c r="R157" s="803"/>
      <c r="S157" s="803"/>
      <c r="T157" s="804"/>
      <c r="U157" s="805"/>
      <c r="V157" s="806" t="s">
        <v>990</v>
      </c>
      <c r="W157" s="806"/>
      <c r="X157" s="806"/>
      <c r="Y157" s="806"/>
      <c r="Z157" s="806"/>
      <c r="AA157" s="807" t="s">
        <v>991</v>
      </c>
      <c r="AB157" s="808"/>
      <c r="AC157" s="809" t="s">
        <v>1030</v>
      </c>
      <c r="AD157" s="809"/>
      <c r="AE157" s="809"/>
      <c r="AF157" s="810" t="s">
        <v>993</v>
      </c>
      <c r="AG157" s="811"/>
      <c r="AH157" s="798" t="s">
        <v>994</v>
      </c>
      <c r="AI157" s="798"/>
      <c r="AJ157" s="798"/>
      <c r="AK157" s="812" t="s">
        <v>995</v>
      </c>
      <c r="AL157" s="813"/>
      <c r="AM157" s="814" t="s">
        <v>996</v>
      </c>
      <c r="AN157" s="814"/>
      <c r="AO157" s="814"/>
      <c r="AP157" s="798" t="s">
        <v>997</v>
      </c>
      <c r="AQ157" s="798"/>
      <c r="AR157" s="798"/>
      <c r="AS157" s="798"/>
      <c r="AT157" s="798"/>
      <c r="AU157" s="815" t="s">
        <v>998</v>
      </c>
    </row>
    <row r="158" spans="1:47" ht="15.75" thickBot="1">
      <c r="A158" s="816"/>
      <c r="B158" s="817" t="s">
        <v>372</v>
      </c>
      <c r="C158" s="817" t="s">
        <v>372</v>
      </c>
      <c r="D158" s="818" t="s">
        <v>999</v>
      </c>
      <c r="E158" s="818" t="s">
        <v>1000</v>
      </c>
      <c r="F158" s="818" t="s">
        <v>1001</v>
      </c>
      <c r="G158" s="819" t="s">
        <v>1002</v>
      </c>
      <c r="H158" s="819" t="s">
        <v>1003</v>
      </c>
      <c r="I158" s="818"/>
      <c r="J158" s="820"/>
      <c r="K158" s="792"/>
      <c r="L158" s="821" t="s">
        <v>1006</v>
      </c>
      <c r="M158" s="822"/>
      <c r="N158" s="819" t="s">
        <v>1004</v>
      </c>
      <c r="O158" s="819" t="s">
        <v>1005</v>
      </c>
      <c r="P158" s="819"/>
      <c r="Q158" s="819" t="s">
        <v>1001</v>
      </c>
      <c r="R158" s="819" t="s">
        <v>1000</v>
      </c>
      <c r="S158" s="819" t="s">
        <v>1001</v>
      </c>
      <c r="T158" s="823" t="s">
        <v>1006</v>
      </c>
      <c r="U158" s="824"/>
      <c r="V158" s="825" t="s">
        <v>1007</v>
      </c>
      <c r="W158" s="825"/>
      <c r="X158" s="825"/>
      <c r="Y158" s="825" t="s">
        <v>1005</v>
      </c>
      <c r="Z158" s="825"/>
      <c r="AA158" s="826" t="s">
        <v>1008</v>
      </c>
      <c r="AB158" s="827"/>
      <c r="AC158" s="819" t="s">
        <v>1004</v>
      </c>
      <c r="AD158" s="828" t="s">
        <v>1005</v>
      </c>
      <c r="AE158" s="828"/>
      <c r="AF158" s="829" t="s">
        <v>1006</v>
      </c>
      <c r="AG158" s="830"/>
      <c r="AH158" s="818" t="s">
        <v>1004</v>
      </c>
      <c r="AI158" s="818" t="s">
        <v>1005</v>
      </c>
      <c r="AJ158" s="818"/>
      <c r="AK158" s="831" t="s">
        <v>1009</v>
      </c>
      <c r="AL158" s="832"/>
      <c r="AM158" s="833"/>
      <c r="AN158" s="833"/>
      <c r="AO158" s="833"/>
      <c r="AP158" s="818" t="s">
        <v>1006</v>
      </c>
      <c r="AQ158" s="818"/>
      <c r="AR158" s="818" t="s">
        <v>1010</v>
      </c>
      <c r="AS158" s="818"/>
      <c r="AT158" s="818"/>
      <c r="AU158" s="834" t="s">
        <v>1011</v>
      </c>
    </row>
    <row r="159" spans="1:47" ht="15.75" thickTop="1">
      <c r="A159" s="816"/>
      <c r="B159" s="817"/>
      <c r="C159" s="817"/>
      <c r="D159" s="818"/>
      <c r="E159" s="818"/>
      <c r="F159" s="818"/>
      <c r="G159" s="819"/>
      <c r="H159" s="819"/>
      <c r="I159" s="818"/>
      <c r="J159" s="820"/>
      <c r="K159" s="792"/>
      <c r="L159" s="835"/>
      <c r="M159" s="836"/>
      <c r="N159" s="819"/>
      <c r="O159" s="837" t="s">
        <v>494</v>
      </c>
      <c r="P159" s="837" t="s">
        <v>1012</v>
      </c>
      <c r="Q159" s="819"/>
      <c r="R159" s="819"/>
      <c r="S159" s="819"/>
      <c r="T159" s="838"/>
      <c r="U159" s="839"/>
      <c r="V159" s="840" t="s">
        <v>1001</v>
      </c>
      <c r="W159" s="840" t="s">
        <v>1000</v>
      </c>
      <c r="X159" s="840" t="s">
        <v>1001</v>
      </c>
      <c r="Y159" s="840" t="s">
        <v>494</v>
      </c>
      <c r="Z159" s="840" t="s">
        <v>1012</v>
      </c>
      <c r="AA159" s="841" t="s">
        <v>1013</v>
      </c>
      <c r="AB159" s="842"/>
      <c r="AC159" s="819"/>
      <c r="AD159" s="843" t="s">
        <v>494</v>
      </c>
      <c r="AE159" s="843" t="s">
        <v>1012</v>
      </c>
      <c r="AF159" s="844"/>
      <c r="AG159" s="842"/>
      <c r="AH159" s="818"/>
      <c r="AI159" s="845" t="s">
        <v>494</v>
      </c>
      <c r="AJ159" s="845" t="s">
        <v>1012</v>
      </c>
      <c r="AK159" s="846" t="s">
        <v>1013</v>
      </c>
      <c r="AL159" s="847"/>
      <c r="AM159" s="833"/>
      <c r="AN159" s="833"/>
      <c r="AO159" s="833"/>
      <c r="AP159" s="818"/>
      <c r="AQ159" s="818"/>
      <c r="AR159" s="818"/>
      <c r="AS159" s="818"/>
      <c r="AT159" s="818"/>
      <c r="AU159" s="834"/>
    </row>
    <row r="160" spans="1:47" ht="15.75" thickBot="1">
      <c r="A160" s="848"/>
      <c r="B160" s="817"/>
      <c r="C160" s="817"/>
      <c r="D160" s="849" t="s">
        <v>151</v>
      </c>
      <c r="E160" s="849"/>
      <c r="F160" s="849"/>
      <c r="G160" s="849"/>
      <c r="H160" s="849"/>
      <c r="I160" s="850" t="s">
        <v>1014</v>
      </c>
      <c r="J160" s="851" t="s">
        <v>1015</v>
      </c>
      <c r="K160" s="792"/>
      <c r="L160" s="848" t="s">
        <v>1016</v>
      </c>
      <c r="M160" s="852"/>
      <c r="N160" s="852" t="s">
        <v>1016</v>
      </c>
      <c r="O160" s="852"/>
      <c r="P160" s="852"/>
      <c r="Q160" s="852" t="s">
        <v>151</v>
      </c>
      <c r="R160" s="852"/>
      <c r="S160" s="852"/>
      <c r="T160" s="823" t="s">
        <v>34</v>
      </c>
      <c r="U160" s="853"/>
      <c r="V160" s="854" t="s">
        <v>34</v>
      </c>
      <c r="W160" s="854"/>
      <c r="X160" s="854"/>
      <c r="Y160" s="854"/>
      <c r="Z160" s="854"/>
      <c r="AA160" s="849" t="s">
        <v>151</v>
      </c>
      <c r="AB160" s="849"/>
      <c r="AC160" s="852" t="s">
        <v>151</v>
      </c>
      <c r="AD160" s="852"/>
      <c r="AE160" s="852"/>
      <c r="AF160" s="849" t="s">
        <v>151</v>
      </c>
      <c r="AG160" s="849"/>
      <c r="AH160" s="849" t="s">
        <v>151</v>
      </c>
      <c r="AI160" s="849"/>
      <c r="AJ160" s="849"/>
      <c r="AK160" s="855" t="s">
        <v>1017</v>
      </c>
      <c r="AL160" s="855"/>
      <c r="AM160" s="855"/>
      <c r="AN160" s="855"/>
      <c r="AO160" s="855"/>
      <c r="AP160" s="849" t="s">
        <v>7</v>
      </c>
      <c r="AQ160" s="849"/>
      <c r="AR160" s="849"/>
      <c r="AS160" s="849"/>
      <c r="AT160" s="849"/>
      <c r="AU160" s="856"/>
    </row>
    <row r="161" spans="1:47" ht="15.75" thickBot="1">
      <c r="A161" s="857" t="s">
        <v>1042</v>
      </c>
      <c r="B161" s="858"/>
      <c r="C161" s="858"/>
      <c r="D161" s="859"/>
      <c r="E161" s="859"/>
      <c r="F161" s="859"/>
      <c r="G161" s="858"/>
      <c r="H161" s="859"/>
      <c r="I161" s="859"/>
      <c r="J161" s="859"/>
      <c r="K161" s="792"/>
      <c r="L161" s="860" t="str">
        <f>A161</f>
        <v>Kolom Lantai 12</v>
      </c>
      <c r="M161" s="858"/>
      <c r="N161" s="858"/>
      <c r="O161" s="858"/>
      <c r="P161" s="858"/>
      <c r="Q161" s="858"/>
      <c r="R161" s="858"/>
      <c r="S161" s="858"/>
      <c r="T161" s="858"/>
      <c r="U161" s="858"/>
      <c r="V161" s="861"/>
      <c r="W161" s="861"/>
      <c r="X161" s="861"/>
      <c r="Y161" s="861"/>
      <c r="Z161" s="861"/>
      <c r="AA161" s="859"/>
      <c r="AB161" s="859"/>
      <c r="AC161" s="858"/>
      <c r="AD161" s="862"/>
      <c r="AE161" s="862"/>
      <c r="AF161" s="859"/>
      <c r="AG161" s="859"/>
      <c r="AH161" s="859"/>
      <c r="AI161" s="859"/>
      <c r="AJ161" s="859"/>
      <c r="AK161" s="863"/>
      <c r="AL161" s="863"/>
      <c r="AM161" s="863"/>
      <c r="AN161" s="863"/>
      <c r="AO161" s="863"/>
      <c r="AP161" s="859"/>
      <c r="AQ161" s="859"/>
      <c r="AR161" s="859"/>
      <c r="AS161" s="859"/>
      <c r="AT161" s="859"/>
      <c r="AU161" s="861"/>
    </row>
    <row r="162" spans="1:47" ht="15.75" thickBot="1">
      <c r="A162" s="858">
        <v>1</v>
      </c>
      <c r="B162" s="858" t="s">
        <v>1019</v>
      </c>
      <c r="C162" s="858">
        <v>17</v>
      </c>
      <c r="D162" s="859">
        <v>0.6</v>
      </c>
      <c r="E162" s="859">
        <f>D162</f>
        <v>0.6</v>
      </c>
      <c r="F162" s="859">
        <v>3</v>
      </c>
      <c r="G162" s="858">
        <v>0.12</v>
      </c>
      <c r="H162" s="859">
        <f>F162-G162</f>
        <v>2.88</v>
      </c>
      <c r="I162" s="859">
        <f>H162*E162*D162*C162</f>
        <v>17.625599999999999</v>
      </c>
      <c r="J162" s="859">
        <f>(D162+D162+E162+E162)*H162*C162</f>
        <v>117.504</v>
      </c>
      <c r="K162" s="792"/>
      <c r="L162" s="858">
        <v>25</v>
      </c>
      <c r="M162" s="858">
        <v>19</v>
      </c>
      <c r="N162" s="858">
        <v>10</v>
      </c>
      <c r="O162" s="858"/>
      <c r="P162" s="858"/>
      <c r="Q162" s="858">
        <v>0.1</v>
      </c>
      <c r="R162" s="858">
        <v>0.15</v>
      </c>
      <c r="S162" s="858">
        <v>0.1</v>
      </c>
      <c r="T162" s="858">
        <v>8</v>
      </c>
      <c r="U162" s="858">
        <v>8</v>
      </c>
      <c r="V162" s="861">
        <f t="shared" ref="V162:V165" si="213">(H162/4)/Q162+1</f>
        <v>8.1999999999999993</v>
      </c>
      <c r="W162" s="861">
        <f t="shared" ref="W162:W165" si="214">(H162/2)/R162+1</f>
        <v>10.6</v>
      </c>
      <c r="X162" s="861">
        <f t="shared" ref="X162:X165" si="215">(H162/4)/S162+1</f>
        <v>8.1999999999999993</v>
      </c>
      <c r="Y162" s="861"/>
      <c r="Z162" s="861"/>
      <c r="AA162" s="859">
        <f>(H162)+(2*6*L162/1000)+(50*L162/1000)+(0.12)</f>
        <v>4.55</v>
      </c>
      <c r="AB162" s="859">
        <f>(H162)+(2*6*M162/1000)+(50*M162/1000)+(0.12)</f>
        <v>4.1779999999999999</v>
      </c>
      <c r="AC162" s="858">
        <f>(2*D162)+(2*E162)+(2*6*N162/1000)-(8*0.03)</f>
        <v>2.2800000000000002</v>
      </c>
      <c r="AD162" s="862">
        <f>(E162)+(2*6*O162/1000)-(2*0.03)</f>
        <v>0.54</v>
      </c>
      <c r="AE162" s="862">
        <f>(D162)+(2*6*P162/1000)-(2*0.03)</f>
        <v>0.54</v>
      </c>
      <c r="AF162" s="859">
        <f>AA162*T162*C162</f>
        <v>618.79999999999995</v>
      </c>
      <c r="AG162" s="859">
        <f>AB162*U162*C162</f>
        <v>568.20799999999997</v>
      </c>
      <c r="AH162" s="859">
        <f>AC162*(V162+W162+X162)*C162</f>
        <v>1046.52</v>
      </c>
      <c r="AI162" s="859"/>
      <c r="AJ162" s="859"/>
      <c r="AK162" s="863">
        <f t="shared" ref="AK162:AK165" si="216">L162*L162*0.074/12</f>
        <v>3.8541666666666665</v>
      </c>
      <c r="AL162" s="863">
        <f>M162*M162*0.074/12</f>
        <v>2.2261666666666664</v>
      </c>
      <c r="AM162" s="863">
        <f t="shared" ref="AM162:AM165" si="217">N162*N162*0.074/12</f>
        <v>0.61666666666666659</v>
      </c>
      <c r="AN162" s="863"/>
      <c r="AO162" s="863"/>
      <c r="AP162" s="859">
        <f>AF162*AK162</f>
        <v>2384.958333333333</v>
      </c>
      <c r="AQ162" s="859">
        <f>AL162*AG162</f>
        <v>1264.9257093333331</v>
      </c>
      <c r="AR162" s="859">
        <f>AH162*AM162</f>
        <v>645.35399999999993</v>
      </c>
      <c r="AS162" s="859"/>
      <c r="AT162" s="859"/>
      <c r="AU162" s="861">
        <f t="shared" ref="AU162:AU165" si="218">SUM(AP162:AT162)/I162</f>
        <v>243.69315329218105</v>
      </c>
    </row>
    <row r="163" spans="1:47" ht="15.75" thickBot="1">
      <c r="A163" s="858">
        <v>2</v>
      </c>
      <c r="B163" s="858" t="s">
        <v>1020</v>
      </c>
      <c r="C163" s="858">
        <v>4</v>
      </c>
      <c r="D163" s="859">
        <v>0.7</v>
      </c>
      <c r="E163" s="859">
        <f>D163</f>
        <v>0.7</v>
      </c>
      <c r="F163" s="859">
        <v>3</v>
      </c>
      <c r="G163" s="858">
        <v>0.12</v>
      </c>
      <c r="H163" s="859">
        <f t="shared" ref="H163:H165" si="219">F163-G163</f>
        <v>2.88</v>
      </c>
      <c r="I163" s="859">
        <f t="shared" ref="I163:I165" si="220">H163*E163*D163*C163</f>
        <v>5.6448</v>
      </c>
      <c r="J163" s="859">
        <f t="shared" ref="J163:J165" si="221">(D163+D163+E163+E163)*H163*C163</f>
        <v>32.256</v>
      </c>
      <c r="K163" s="792"/>
      <c r="L163" s="858">
        <v>19</v>
      </c>
      <c r="M163" s="858"/>
      <c r="N163" s="858">
        <v>10</v>
      </c>
      <c r="O163" s="858"/>
      <c r="P163" s="858"/>
      <c r="Q163" s="858">
        <v>0.1</v>
      </c>
      <c r="R163" s="858">
        <v>0.15</v>
      </c>
      <c r="S163" s="858">
        <v>0.1</v>
      </c>
      <c r="T163" s="858">
        <v>16</v>
      </c>
      <c r="U163" s="858"/>
      <c r="V163" s="861">
        <f t="shared" si="213"/>
        <v>8.1999999999999993</v>
      </c>
      <c r="W163" s="861">
        <f t="shared" si="214"/>
        <v>10.6</v>
      </c>
      <c r="X163" s="861">
        <f t="shared" si="215"/>
        <v>8.1999999999999993</v>
      </c>
      <c r="Y163" s="861"/>
      <c r="Z163" s="861"/>
      <c r="AA163" s="859">
        <f t="shared" ref="AA163:AA165" si="222">(H163)+(2*6*L163/1000)+(50*L163/1000)+(0.12)</f>
        <v>4.1779999999999999</v>
      </c>
      <c r="AB163" s="859"/>
      <c r="AC163" s="858">
        <f t="shared" ref="AC163:AC165" si="223">(2*D163)+(2*E163)+(2*6*N163/1000)-(8*0.03)</f>
        <v>2.6799999999999997</v>
      </c>
      <c r="AD163" s="862">
        <f t="shared" ref="AD163:AD165" si="224">(E163)+(2*6*O163/1000)-(2*0.03)</f>
        <v>0.6399999999999999</v>
      </c>
      <c r="AE163" s="862">
        <f t="shared" ref="AE163:AE165" si="225">(D163)+(2*6*P163/1000)-(2*0.03)</f>
        <v>0.6399999999999999</v>
      </c>
      <c r="AF163" s="859">
        <f t="shared" ref="AF163:AF165" si="226">AA163*T163*C163</f>
        <v>267.392</v>
      </c>
      <c r="AG163" s="859"/>
      <c r="AH163" s="859">
        <f t="shared" ref="AH163:AH165" si="227">AC163*(V163+W163+X163)*C163</f>
        <v>289.43999999999994</v>
      </c>
      <c r="AI163" s="859"/>
      <c r="AJ163" s="859"/>
      <c r="AK163" s="863">
        <f t="shared" si="216"/>
        <v>2.2261666666666664</v>
      </c>
      <c r="AL163" s="863"/>
      <c r="AM163" s="863">
        <f t="shared" si="217"/>
        <v>0.61666666666666659</v>
      </c>
      <c r="AN163" s="863"/>
      <c r="AO163" s="863"/>
      <c r="AP163" s="859">
        <f t="shared" ref="AP163" si="228">AF163*AK163</f>
        <v>595.25915733333329</v>
      </c>
      <c r="AQ163" s="859"/>
      <c r="AR163" s="859">
        <f t="shared" ref="AR163" si="229">AH163*AM163</f>
        <v>178.48799999999994</v>
      </c>
      <c r="AS163" s="859"/>
      <c r="AT163" s="859"/>
      <c r="AU163" s="861">
        <f t="shared" si="218"/>
        <v>137.07255479969763</v>
      </c>
    </row>
    <row r="164" spans="1:47" ht="15.75" thickBot="1">
      <c r="A164" s="858">
        <v>3</v>
      </c>
      <c r="B164" s="858" t="s">
        <v>1023</v>
      </c>
      <c r="C164" s="858">
        <v>4</v>
      </c>
      <c r="D164" s="859">
        <v>0.6</v>
      </c>
      <c r="E164" s="859">
        <f>D164</f>
        <v>0.6</v>
      </c>
      <c r="F164" s="859">
        <v>3</v>
      </c>
      <c r="G164" s="858">
        <v>0.12</v>
      </c>
      <c r="H164" s="859">
        <f t="shared" si="219"/>
        <v>2.88</v>
      </c>
      <c r="I164" s="859">
        <f t="shared" si="220"/>
        <v>4.1471999999999998</v>
      </c>
      <c r="J164" s="859">
        <f t="shared" si="221"/>
        <v>27.648</v>
      </c>
      <c r="K164" s="792"/>
      <c r="L164" s="858">
        <v>25</v>
      </c>
      <c r="M164" s="858"/>
      <c r="N164" s="858">
        <v>10</v>
      </c>
      <c r="O164" s="858"/>
      <c r="P164" s="858"/>
      <c r="Q164" s="858">
        <v>0.1</v>
      </c>
      <c r="R164" s="858">
        <v>0.15</v>
      </c>
      <c r="S164" s="858">
        <v>0.1</v>
      </c>
      <c r="T164" s="858">
        <v>16</v>
      </c>
      <c r="U164" s="858"/>
      <c r="V164" s="861">
        <f t="shared" si="213"/>
        <v>8.1999999999999993</v>
      </c>
      <c r="W164" s="861">
        <f t="shared" si="214"/>
        <v>10.6</v>
      </c>
      <c r="X164" s="861">
        <f t="shared" si="215"/>
        <v>8.1999999999999993</v>
      </c>
      <c r="Y164" s="861"/>
      <c r="Z164" s="861"/>
      <c r="AA164" s="859">
        <f t="shared" si="222"/>
        <v>4.55</v>
      </c>
      <c r="AB164" s="859"/>
      <c r="AC164" s="858">
        <f t="shared" si="223"/>
        <v>2.2800000000000002</v>
      </c>
      <c r="AD164" s="862">
        <f t="shared" si="224"/>
        <v>0.54</v>
      </c>
      <c r="AE164" s="862">
        <f t="shared" si="225"/>
        <v>0.54</v>
      </c>
      <c r="AF164" s="859">
        <f t="shared" si="226"/>
        <v>291.2</v>
      </c>
      <c r="AG164" s="859"/>
      <c r="AH164" s="859">
        <f t="shared" si="227"/>
        <v>246.23999999999998</v>
      </c>
      <c r="AI164" s="859"/>
      <c r="AJ164" s="859"/>
      <c r="AK164" s="863">
        <f t="shared" si="216"/>
        <v>3.8541666666666665</v>
      </c>
      <c r="AL164" s="863"/>
      <c r="AM164" s="863">
        <f t="shared" si="217"/>
        <v>0.61666666666666659</v>
      </c>
      <c r="AN164" s="863"/>
      <c r="AO164" s="863"/>
      <c r="AP164" s="859">
        <f>AF164*AK164</f>
        <v>1122.3333333333333</v>
      </c>
      <c r="AQ164" s="859"/>
      <c r="AR164" s="859">
        <f>AH164*AM164</f>
        <v>151.84799999999996</v>
      </c>
      <c r="AS164" s="859"/>
      <c r="AT164" s="859"/>
      <c r="AU164" s="861">
        <f t="shared" si="218"/>
        <v>307.23894032921811</v>
      </c>
    </row>
    <row r="165" spans="1:47" ht="15.75" thickBot="1">
      <c r="A165" s="858">
        <v>4</v>
      </c>
      <c r="B165" s="858" t="s">
        <v>1024</v>
      </c>
      <c r="C165" s="858">
        <v>2</v>
      </c>
      <c r="D165" s="859">
        <v>0.9</v>
      </c>
      <c r="E165" s="859">
        <f>D165</f>
        <v>0.9</v>
      </c>
      <c r="F165" s="859">
        <v>3</v>
      </c>
      <c r="G165" s="858">
        <v>0.12</v>
      </c>
      <c r="H165" s="859">
        <f t="shared" si="219"/>
        <v>2.88</v>
      </c>
      <c r="I165" s="859">
        <f t="shared" si="220"/>
        <v>4.6656000000000004</v>
      </c>
      <c r="J165" s="859">
        <f t="shared" si="221"/>
        <v>20.736000000000001</v>
      </c>
      <c r="K165" s="792"/>
      <c r="L165" s="858">
        <v>25</v>
      </c>
      <c r="M165" s="858"/>
      <c r="N165" s="858">
        <v>10</v>
      </c>
      <c r="O165" s="858"/>
      <c r="P165" s="858"/>
      <c r="Q165" s="858">
        <v>0.1</v>
      </c>
      <c r="R165" s="858">
        <v>0.15</v>
      </c>
      <c r="S165" s="858">
        <v>0.1</v>
      </c>
      <c r="T165" s="858">
        <v>24</v>
      </c>
      <c r="U165" s="858"/>
      <c r="V165" s="861">
        <f t="shared" si="213"/>
        <v>8.1999999999999993</v>
      </c>
      <c r="W165" s="861">
        <f t="shared" si="214"/>
        <v>10.6</v>
      </c>
      <c r="X165" s="861">
        <f t="shared" si="215"/>
        <v>8.1999999999999993</v>
      </c>
      <c r="Y165" s="861"/>
      <c r="Z165" s="861"/>
      <c r="AA165" s="859">
        <f t="shared" si="222"/>
        <v>4.55</v>
      </c>
      <c r="AB165" s="859"/>
      <c r="AC165" s="858">
        <f t="shared" si="223"/>
        <v>3.4800000000000004</v>
      </c>
      <c r="AD165" s="862">
        <f t="shared" si="224"/>
        <v>0.84000000000000008</v>
      </c>
      <c r="AE165" s="862">
        <f t="shared" si="225"/>
        <v>0.84000000000000008</v>
      </c>
      <c r="AF165" s="859">
        <f t="shared" si="226"/>
        <v>218.39999999999998</v>
      </c>
      <c r="AG165" s="859"/>
      <c r="AH165" s="859">
        <f t="shared" si="227"/>
        <v>187.92</v>
      </c>
      <c r="AI165" s="859"/>
      <c r="AJ165" s="859"/>
      <c r="AK165" s="863">
        <f t="shared" si="216"/>
        <v>3.8541666666666665</v>
      </c>
      <c r="AL165" s="863"/>
      <c r="AM165" s="863">
        <f t="shared" si="217"/>
        <v>0.61666666666666659</v>
      </c>
      <c r="AN165" s="863"/>
      <c r="AO165" s="863"/>
      <c r="AP165" s="859">
        <f>AF165*AK165</f>
        <v>841.74999999999989</v>
      </c>
      <c r="AQ165" s="859"/>
      <c r="AR165" s="859">
        <f>AH165*AM165</f>
        <v>115.88399999999997</v>
      </c>
      <c r="AS165" s="859"/>
      <c r="AT165" s="859"/>
      <c r="AU165" s="861">
        <f t="shared" si="218"/>
        <v>205.25420096021944</v>
      </c>
    </row>
    <row r="166" spans="1:47" ht="15.75" thickBot="1">
      <c r="A166" s="792"/>
      <c r="B166" s="792"/>
      <c r="C166" s="792"/>
      <c r="D166" s="794"/>
      <c r="E166" s="794"/>
      <c r="F166" s="794"/>
      <c r="G166" s="792"/>
      <c r="H166" s="792"/>
      <c r="I166" s="794"/>
      <c r="J166" s="794"/>
      <c r="K166" s="792"/>
      <c r="L166" s="858"/>
      <c r="M166" s="858"/>
      <c r="N166" s="858"/>
      <c r="O166" s="858"/>
      <c r="P166" s="858"/>
      <c r="Q166" s="858"/>
      <c r="R166" s="858"/>
      <c r="S166" s="858"/>
      <c r="T166" s="858"/>
      <c r="U166" s="858"/>
      <c r="V166" s="861"/>
      <c r="W166" s="861"/>
      <c r="X166" s="861"/>
      <c r="Y166" s="861"/>
      <c r="Z166" s="861"/>
      <c r="AA166" s="859"/>
      <c r="AB166" s="859"/>
      <c r="AC166" s="858"/>
      <c r="AD166" s="862"/>
      <c r="AE166" s="862"/>
      <c r="AF166" s="859"/>
      <c r="AG166" s="859"/>
      <c r="AH166" s="859"/>
      <c r="AI166" s="859"/>
      <c r="AJ166" s="859"/>
      <c r="AK166" s="863"/>
      <c r="AL166" s="863"/>
      <c r="AM166" s="863"/>
      <c r="AN166" s="863"/>
      <c r="AO166" s="863"/>
      <c r="AP166" s="859"/>
      <c r="AQ166" s="859"/>
      <c r="AR166" s="859"/>
      <c r="AS166" s="859"/>
      <c r="AT166" s="859"/>
      <c r="AU166" s="861"/>
    </row>
    <row r="167" spans="1:47">
      <c r="A167" s="796" t="s">
        <v>66</v>
      </c>
      <c r="B167" s="797" t="s">
        <v>983</v>
      </c>
      <c r="C167" s="797"/>
      <c r="D167" s="798" t="s">
        <v>984</v>
      </c>
      <c r="E167" s="798"/>
      <c r="F167" s="798"/>
      <c r="G167" s="799" t="s">
        <v>985</v>
      </c>
      <c r="H167" s="799" t="s">
        <v>986</v>
      </c>
      <c r="I167" s="798" t="s">
        <v>392</v>
      </c>
      <c r="J167" s="800" t="s">
        <v>377</v>
      </c>
      <c r="K167" s="792"/>
      <c r="L167" s="914" t="s">
        <v>987</v>
      </c>
      <c r="M167" s="802"/>
      <c r="N167" s="803" t="s">
        <v>988</v>
      </c>
      <c r="O167" s="803"/>
      <c r="P167" s="803"/>
      <c r="Q167" s="803" t="s">
        <v>989</v>
      </c>
      <c r="R167" s="803"/>
      <c r="S167" s="803"/>
      <c r="T167" s="804"/>
      <c r="U167" s="805"/>
      <c r="V167" s="806" t="s">
        <v>990</v>
      </c>
      <c r="W167" s="806"/>
      <c r="X167" s="806"/>
      <c r="Y167" s="806"/>
      <c r="Z167" s="806"/>
      <c r="AA167" s="807" t="s">
        <v>991</v>
      </c>
      <c r="AB167" s="808"/>
      <c r="AC167" s="809" t="s">
        <v>1030</v>
      </c>
      <c r="AD167" s="809"/>
      <c r="AE167" s="809"/>
      <c r="AF167" s="810" t="s">
        <v>993</v>
      </c>
      <c r="AG167" s="811"/>
      <c r="AH167" s="798" t="s">
        <v>994</v>
      </c>
      <c r="AI167" s="798"/>
      <c r="AJ167" s="798"/>
      <c r="AK167" s="812" t="s">
        <v>995</v>
      </c>
      <c r="AL167" s="813"/>
      <c r="AM167" s="814" t="s">
        <v>996</v>
      </c>
      <c r="AN167" s="814"/>
      <c r="AO167" s="814"/>
      <c r="AP167" s="798" t="s">
        <v>997</v>
      </c>
      <c r="AQ167" s="798"/>
      <c r="AR167" s="798"/>
      <c r="AS167" s="798"/>
      <c r="AT167" s="798"/>
      <c r="AU167" s="815" t="s">
        <v>998</v>
      </c>
    </row>
    <row r="168" spans="1:47" ht="15.75" thickBot="1">
      <c r="A168" s="816"/>
      <c r="B168" s="817" t="s">
        <v>372</v>
      </c>
      <c r="C168" s="817" t="s">
        <v>372</v>
      </c>
      <c r="D168" s="818" t="s">
        <v>999</v>
      </c>
      <c r="E168" s="818" t="s">
        <v>1000</v>
      </c>
      <c r="F168" s="818" t="s">
        <v>1001</v>
      </c>
      <c r="G168" s="819" t="s">
        <v>1002</v>
      </c>
      <c r="H168" s="819" t="s">
        <v>1003</v>
      </c>
      <c r="I168" s="818"/>
      <c r="J168" s="820"/>
      <c r="K168" s="792"/>
      <c r="L168" s="821" t="s">
        <v>1006</v>
      </c>
      <c r="M168" s="822"/>
      <c r="N168" s="819" t="s">
        <v>1004</v>
      </c>
      <c r="O168" s="819" t="s">
        <v>1005</v>
      </c>
      <c r="P168" s="819"/>
      <c r="Q168" s="819" t="s">
        <v>1001</v>
      </c>
      <c r="R168" s="819" t="s">
        <v>1000</v>
      </c>
      <c r="S168" s="819" t="s">
        <v>1001</v>
      </c>
      <c r="T168" s="823" t="s">
        <v>1006</v>
      </c>
      <c r="U168" s="824"/>
      <c r="V168" s="825" t="s">
        <v>1007</v>
      </c>
      <c r="W168" s="825"/>
      <c r="X168" s="825"/>
      <c r="Y168" s="825" t="s">
        <v>1005</v>
      </c>
      <c r="Z168" s="825"/>
      <c r="AA168" s="826" t="s">
        <v>1008</v>
      </c>
      <c r="AB168" s="827"/>
      <c r="AC168" s="819" t="s">
        <v>1004</v>
      </c>
      <c r="AD168" s="828" t="s">
        <v>1005</v>
      </c>
      <c r="AE168" s="828"/>
      <c r="AF168" s="829" t="s">
        <v>1006</v>
      </c>
      <c r="AG168" s="830"/>
      <c r="AH168" s="818" t="s">
        <v>1004</v>
      </c>
      <c r="AI168" s="818" t="s">
        <v>1005</v>
      </c>
      <c r="AJ168" s="818"/>
      <c r="AK168" s="831" t="s">
        <v>1009</v>
      </c>
      <c r="AL168" s="832"/>
      <c r="AM168" s="833"/>
      <c r="AN168" s="833"/>
      <c r="AO168" s="833"/>
      <c r="AP168" s="818" t="s">
        <v>1006</v>
      </c>
      <c r="AQ168" s="818"/>
      <c r="AR168" s="818" t="s">
        <v>1010</v>
      </c>
      <c r="AS168" s="818"/>
      <c r="AT168" s="818"/>
      <c r="AU168" s="834" t="s">
        <v>1011</v>
      </c>
    </row>
    <row r="169" spans="1:47" ht="15.75" thickTop="1">
      <c r="A169" s="816"/>
      <c r="B169" s="817"/>
      <c r="C169" s="817"/>
      <c r="D169" s="818"/>
      <c r="E169" s="818"/>
      <c r="F169" s="818"/>
      <c r="G169" s="819"/>
      <c r="H169" s="819"/>
      <c r="I169" s="818"/>
      <c r="J169" s="820"/>
      <c r="K169" s="792"/>
      <c r="L169" s="835"/>
      <c r="M169" s="836"/>
      <c r="N169" s="819"/>
      <c r="O169" s="837" t="s">
        <v>494</v>
      </c>
      <c r="P169" s="837" t="s">
        <v>1012</v>
      </c>
      <c r="Q169" s="819"/>
      <c r="R169" s="819"/>
      <c r="S169" s="819"/>
      <c r="T169" s="838"/>
      <c r="U169" s="839"/>
      <c r="V169" s="840" t="s">
        <v>1001</v>
      </c>
      <c r="W169" s="840" t="s">
        <v>1000</v>
      </c>
      <c r="X169" s="840" t="s">
        <v>1001</v>
      </c>
      <c r="Y169" s="840" t="s">
        <v>494</v>
      </c>
      <c r="Z169" s="840" t="s">
        <v>1012</v>
      </c>
      <c r="AA169" s="841" t="s">
        <v>1013</v>
      </c>
      <c r="AB169" s="842"/>
      <c r="AC169" s="819"/>
      <c r="AD169" s="843" t="s">
        <v>494</v>
      </c>
      <c r="AE169" s="843" t="s">
        <v>1012</v>
      </c>
      <c r="AF169" s="844"/>
      <c r="AG169" s="842"/>
      <c r="AH169" s="818"/>
      <c r="AI169" s="845" t="s">
        <v>494</v>
      </c>
      <c r="AJ169" s="845" t="s">
        <v>1012</v>
      </c>
      <c r="AK169" s="846" t="s">
        <v>1013</v>
      </c>
      <c r="AL169" s="847"/>
      <c r="AM169" s="833"/>
      <c r="AN169" s="833"/>
      <c r="AO169" s="833"/>
      <c r="AP169" s="818"/>
      <c r="AQ169" s="818"/>
      <c r="AR169" s="818"/>
      <c r="AS169" s="818"/>
      <c r="AT169" s="818"/>
      <c r="AU169" s="834"/>
    </row>
    <row r="170" spans="1:47" ht="15.75" thickBot="1">
      <c r="A170" s="848"/>
      <c r="B170" s="817"/>
      <c r="C170" s="817"/>
      <c r="D170" s="849" t="s">
        <v>151</v>
      </c>
      <c r="E170" s="849"/>
      <c r="F170" s="849"/>
      <c r="G170" s="849"/>
      <c r="H170" s="849"/>
      <c r="I170" s="850" t="s">
        <v>1014</v>
      </c>
      <c r="J170" s="851" t="s">
        <v>1015</v>
      </c>
      <c r="K170" s="792"/>
      <c r="L170" s="848" t="s">
        <v>1016</v>
      </c>
      <c r="M170" s="852"/>
      <c r="N170" s="852" t="s">
        <v>1016</v>
      </c>
      <c r="O170" s="852"/>
      <c r="P170" s="852"/>
      <c r="Q170" s="852" t="s">
        <v>151</v>
      </c>
      <c r="R170" s="852"/>
      <c r="S170" s="852"/>
      <c r="T170" s="823" t="s">
        <v>34</v>
      </c>
      <c r="U170" s="853"/>
      <c r="V170" s="854" t="s">
        <v>34</v>
      </c>
      <c r="W170" s="854"/>
      <c r="X170" s="854"/>
      <c r="Y170" s="854"/>
      <c r="Z170" s="854"/>
      <c r="AA170" s="849" t="s">
        <v>151</v>
      </c>
      <c r="AB170" s="849"/>
      <c r="AC170" s="852" t="s">
        <v>151</v>
      </c>
      <c r="AD170" s="852"/>
      <c r="AE170" s="852"/>
      <c r="AF170" s="849" t="s">
        <v>151</v>
      </c>
      <c r="AG170" s="849"/>
      <c r="AH170" s="849" t="s">
        <v>151</v>
      </c>
      <c r="AI170" s="849"/>
      <c r="AJ170" s="849"/>
      <c r="AK170" s="855" t="s">
        <v>1017</v>
      </c>
      <c r="AL170" s="855"/>
      <c r="AM170" s="855"/>
      <c r="AN170" s="855"/>
      <c r="AO170" s="855"/>
      <c r="AP170" s="849" t="s">
        <v>7</v>
      </c>
      <c r="AQ170" s="849"/>
      <c r="AR170" s="849"/>
      <c r="AS170" s="849"/>
      <c r="AT170" s="849"/>
      <c r="AU170" s="856"/>
    </row>
    <row r="171" spans="1:47" ht="15.75" thickBot="1">
      <c r="A171" s="857" t="s">
        <v>1043</v>
      </c>
      <c r="B171" s="858"/>
      <c r="C171" s="858"/>
      <c r="D171" s="859"/>
      <c r="E171" s="859"/>
      <c r="F171" s="859"/>
      <c r="G171" s="858"/>
      <c r="H171" s="859"/>
      <c r="I171" s="859"/>
      <c r="J171" s="859"/>
      <c r="K171" s="792"/>
      <c r="L171" s="860" t="str">
        <f>A171</f>
        <v>Kolom Lantai 13</v>
      </c>
      <c r="M171" s="858"/>
      <c r="N171" s="858"/>
      <c r="O171" s="858"/>
      <c r="P171" s="858"/>
      <c r="Q171" s="858"/>
      <c r="R171" s="858"/>
      <c r="S171" s="858"/>
      <c r="T171" s="858"/>
      <c r="U171" s="858"/>
      <c r="V171" s="861"/>
      <c r="W171" s="861"/>
      <c r="X171" s="861"/>
      <c r="Y171" s="861"/>
      <c r="Z171" s="861"/>
      <c r="AA171" s="859"/>
      <c r="AB171" s="859"/>
      <c r="AC171" s="858"/>
      <c r="AD171" s="862"/>
      <c r="AE171" s="862"/>
      <c r="AF171" s="859"/>
      <c r="AG171" s="859"/>
      <c r="AH171" s="859"/>
      <c r="AI171" s="859"/>
      <c r="AJ171" s="859"/>
      <c r="AK171" s="863"/>
      <c r="AL171" s="863"/>
      <c r="AM171" s="863"/>
      <c r="AN171" s="863"/>
      <c r="AO171" s="863"/>
      <c r="AP171" s="859"/>
      <c r="AQ171" s="859"/>
      <c r="AR171" s="859"/>
      <c r="AS171" s="859"/>
      <c r="AT171" s="859"/>
      <c r="AU171" s="861"/>
    </row>
    <row r="172" spans="1:47" ht="15.75" thickBot="1">
      <c r="A172" s="858">
        <v>1</v>
      </c>
      <c r="B172" s="858" t="s">
        <v>1019</v>
      </c>
      <c r="C172" s="858">
        <v>17</v>
      </c>
      <c r="D172" s="859">
        <v>0.5</v>
      </c>
      <c r="E172" s="859">
        <f>D172</f>
        <v>0.5</v>
      </c>
      <c r="F172" s="859">
        <v>3</v>
      </c>
      <c r="G172" s="858">
        <v>0.12</v>
      </c>
      <c r="H172" s="859">
        <f>F172-G172</f>
        <v>2.88</v>
      </c>
      <c r="I172" s="859">
        <f>H172*E172*D172*C172</f>
        <v>12.24</v>
      </c>
      <c r="J172" s="859">
        <f>(D172+D172+E172+E172)*H172*C172</f>
        <v>97.92</v>
      </c>
      <c r="K172" s="792"/>
      <c r="L172" s="858">
        <v>16</v>
      </c>
      <c r="M172" s="858"/>
      <c r="N172" s="858">
        <v>10</v>
      </c>
      <c r="O172" s="858"/>
      <c r="P172" s="858"/>
      <c r="Q172" s="858">
        <v>0.1</v>
      </c>
      <c r="R172" s="858">
        <v>0.15</v>
      </c>
      <c r="S172" s="858">
        <v>0.1</v>
      </c>
      <c r="T172" s="858">
        <v>16</v>
      </c>
      <c r="U172" s="858"/>
      <c r="V172" s="861">
        <f t="shared" ref="V172:V175" si="230">(H172/4)/Q172+1</f>
        <v>8.1999999999999993</v>
      </c>
      <c r="W172" s="861">
        <f t="shared" ref="W172:W175" si="231">(H172/2)/R172+1</f>
        <v>10.6</v>
      </c>
      <c r="X172" s="861">
        <f t="shared" ref="X172:X175" si="232">(H172/4)/S172+1</f>
        <v>8.1999999999999993</v>
      </c>
      <c r="Y172" s="861"/>
      <c r="Z172" s="861"/>
      <c r="AA172" s="859">
        <f>(H172)+(2*6*L172/1000)+(50*L172/1000)+(0.12)</f>
        <v>3.992</v>
      </c>
      <c r="AB172" s="859"/>
      <c r="AC172" s="858">
        <f>(2*D172)+(2*E172)+(2*6*N172/1000)-(8*0.03)</f>
        <v>1.8800000000000001</v>
      </c>
      <c r="AD172" s="862">
        <f>(E172)+(2*6*O172/1000)-(2*0.03)</f>
        <v>0.44</v>
      </c>
      <c r="AE172" s="862">
        <f>(D172)+(2*6*P172/1000)-(2*0.03)</f>
        <v>0.44</v>
      </c>
      <c r="AF172" s="859">
        <f>AA172*T172*C172</f>
        <v>1085.8240000000001</v>
      </c>
      <c r="AG172" s="859"/>
      <c r="AH172" s="859">
        <f>AC172*(V172+W172+X172)*C172</f>
        <v>862.92</v>
      </c>
      <c r="AI172" s="859"/>
      <c r="AJ172" s="859"/>
      <c r="AK172" s="863">
        <f t="shared" ref="AK172:AK175" si="233">L172*L172*0.074/12</f>
        <v>1.5786666666666667</v>
      </c>
      <c r="AL172" s="863"/>
      <c r="AM172" s="863">
        <f t="shared" ref="AM172:AM175" si="234">N172*N172*0.074/12</f>
        <v>0.61666666666666659</v>
      </c>
      <c r="AN172" s="863"/>
      <c r="AO172" s="863"/>
      <c r="AP172" s="859">
        <f>AF172*AK172</f>
        <v>1714.1541546666667</v>
      </c>
      <c r="AQ172" s="859"/>
      <c r="AR172" s="859">
        <f>AH172*AM172</f>
        <v>532.1339999999999</v>
      </c>
      <c r="AS172" s="859"/>
      <c r="AT172" s="859"/>
      <c r="AU172" s="861">
        <f t="shared" ref="AU172:AU175" si="235">SUM(AP172:AT172)/I172</f>
        <v>183.52027407407408</v>
      </c>
    </row>
    <row r="173" spans="1:47" ht="15.75" thickBot="1">
      <c r="A173" s="858">
        <v>2</v>
      </c>
      <c r="B173" s="858" t="s">
        <v>1020</v>
      </c>
      <c r="C173" s="858">
        <v>4</v>
      </c>
      <c r="D173" s="859">
        <v>0.6</v>
      </c>
      <c r="E173" s="859">
        <f>D173</f>
        <v>0.6</v>
      </c>
      <c r="F173" s="859">
        <v>3</v>
      </c>
      <c r="G173" s="858">
        <v>0.12</v>
      </c>
      <c r="H173" s="859">
        <f t="shared" ref="H173:H175" si="236">F173-G173</f>
        <v>2.88</v>
      </c>
      <c r="I173" s="859">
        <f t="shared" ref="I173:I175" si="237">H173*E173*D173*C173</f>
        <v>4.1471999999999998</v>
      </c>
      <c r="J173" s="859">
        <f t="shared" ref="J173:J175" si="238">(D173+D173+E173+E173)*H173*C173</f>
        <v>27.648</v>
      </c>
      <c r="K173" s="792"/>
      <c r="L173" s="858">
        <v>16</v>
      </c>
      <c r="M173" s="858">
        <v>19</v>
      </c>
      <c r="N173" s="858">
        <v>10</v>
      </c>
      <c r="O173" s="858"/>
      <c r="P173" s="858"/>
      <c r="Q173" s="858">
        <v>0.1</v>
      </c>
      <c r="R173" s="858">
        <v>0.15</v>
      </c>
      <c r="S173" s="858">
        <v>0.1</v>
      </c>
      <c r="T173" s="858">
        <v>8</v>
      </c>
      <c r="U173" s="858">
        <v>8</v>
      </c>
      <c r="V173" s="861">
        <f t="shared" si="230"/>
        <v>8.1999999999999993</v>
      </c>
      <c r="W173" s="861">
        <f t="shared" si="231"/>
        <v>10.6</v>
      </c>
      <c r="X173" s="861">
        <f t="shared" si="232"/>
        <v>8.1999999999999993</v>
      </c>
      <c r="Y173" s="861"/>
      <c r="Z173" s="861"/>
      <c r="AA173" s="859">
        <f t="shared" ref="AA173:AA175" si="239">(H173)+(2*6*L173/1000)+(50*L173/1000)+(0.12)</f>
        <v>3.992</v>
      </c>
      <c r="AB173" s="859">
        <f>(H173)+(2*6*M173/1000)+(50*M173/1000)+(0.12)</f>
        <v>4.1779999999999999</v>
      </c>
      <c r="AC173" s="858">
        <f t="shared" ref="AC173:AC175" si="240">(2*D173)+(2*E173)+(2*6*N173/1000)-(8*0.03)</f>
        <v>2.2800000000000002</v>
      </c>
      <c r="AD173" s="862">
        <f t="shared" ref="AD173:AD175" si="241">(E173)+(2*6*O173/1000)-(2*0.03)</f>
        <v>0.54</v>
      </c>
      <c r="AE173" s="862">
        <f t="shared" ref="AE173:AE175" si="242">(D173)+(2*6*P173/1000)-(2*0.03)</f>
        <v>0.54</v>
      </c>
      <c r="AF173" s="859">
        <f t="shared" ref="AF173:AF175" si="243">AA173*T173*C173</f>
        <v>127.744</v>
      </c>
      <c r="AG173" s="859">
        <f>AB173*U173*C173</f>
        <v>133.696</v>
      </c>
      <c r="AH173" s="859">
        <f t="shared" ref="AH173:AH175" si="244">AC173*(V173+W173+X173)*C173</f>
        <v>246.23999999999998</v>
      </c>
      <c r="AI173" s="859"/>
      <c r="AJ173" s="859"/>
      <c r="AK173" s="863">
        <f t="shared" si="233"/>
        <v>1.5786666666666667</v>
      </c>
      <c r="AL173" s="863">
        <f>M173*M173*0.074/12</f>
        <v>2.2261666666666664</v>
      </c>
      <c r="AM173" s="863">
        <f t="shared" si="234"/>
        <v>0.61666666666666659</v>
      </c>
      <c r="AN173" s="863"/>
      <c r="AO173" s="863"/>
      <c r="AP173" s="859">
        <f t="shared" ref="AP173" si="245">AF173*AK173</f>
        <v>201.66519466666668</v>
      </c>
      <c r="AQ173" s="859">
        <f>AL173*AG173</f>
        <v>297.62957866666665</v>
      </c>
      <c r="AR173" s="859">
        <f t="shared" ref="AR173" si="246">AH173*AM173</f>
        <v>151.84799999999996</v>
      </c>
      <c r="AS173" s="859"/>
      <c r="AT173" s="859"/>
      <c r="AU173" s="861">
        <f t="shared" si="235"/>
        <v>157.00780606995883</v>
      </c>
    </row>
    <row r="174" spans="1:47" ht="15.75" thickBot="1">
      <c r="A174" s="858">
        <v>3</v>
      </c>
      <c r="B174" s="858" t="s">
        <v>1023</v>
      </c>
      <c r="C174" s="858">
        <v>4</v>
      </c>
      <c r="D174" s="859">
        <v>0.5</v>
      </c>
      <c r="E174" s="859">
        <f>D174</f>
        <v>0.5</v>
      </c>
      <c r="F174" s="859">
        <v>3</v>
      </c>
      <c r="G174" s="858">
        <v>0.12</v>
      </c>
      <c r="H174" s="859">
        <f t="shared" si="236"/>
        <v>2.88</v>
      </c>
      <c r="I174" s="859">
        <f t="shared" si="237"/>
        <v>2.88</v>
      </c>
      <c r="J174" s="859">
        <f t="shared" si="238"/>
        <v>23.04</v>
      </c>
      <c r="K174" s="792"/>
      <c r="L174" s="858">
        <v>19</v>
      </c>
      <c r="M174" s="858"/>
      <c r="N174" s="858">
        <v>10</v>
      </c>
      <c r="O174" s="858"/>
      <c r="P174" s="858"/>
      <c r="Q174" s="858">
        <v>0.1</v>
      </c>
      <c r="R174" s="858">
        <v>0.15</v>
      </c>
      <c r="S174" s="858">
        <v>0.1</v>
      </c>
      <c r="T174" s="858">
        <v>16</v>
      </c>
      <c r="U174" s="858"/>
      <c r="V174" s="861">
        <f t="shared" si="230"/>
        <v>8.1999999999999993</v>
      </c>
      <c r="W174" s="861">
        <f t="shared" si="231"/>
        <v>10.6</v>
      </c>
      <c r="X174" s="861">
        <f t="shared" si="232"/>
        <v>8.1999999999999993</v>
      </c>
      <c r="Y174" s="861"/>
      <c r="Z174" s="861"/>
      <c r="AA174" s="859">
        <f t="shared" si="239"/>
        <v>4.1779999999999999</v>
      </c>
      <c r="AB174" s="859"/>
      <c r="AC174" s="858">
        <f t="shared" si="240"/>
        <v>1.8800000000000001</v>
      </c>
      <c r="AD174" s="862">
        <f t="shared" si="241"/>
        <v>0.44</v>
      </c>
      <c r="AE174" s="862">
        <f t="shared" si="242"/>
        <v>0.44</v>
      </c>
      <c r="AF174" s="859">
        <f t="shared" si="243"/>
        <v>267.392</v>
      </c>
      <c r="AG174" s="859"/>
      <c r="AH174" s="859">
        <f t="shared" si="244"/>
        <v>203.04</v>
      </c>
      <c r="AI174" s="859"/>
      <c r="AJ174" s="859"/>
      <c r="AK174" s="863">
        <f t="shared" si="233"/>
        <v>2.2261666666666664</v>
      </c>
      <c r="AL174" s="863"/>
      <c r="AM174" s="863">
        <f t="shared" si="234"/>
        <v>0.61666666666666659</v>
      </c>
      <c r="AN174" s="863"/>
      <c r="AO174" s="863"/>
      <c r="AP174" s="859">
        <f>AF174*AK174</f>
        <v>595.25915733333329</v>
      </c>
      <c r="AQ174" s="859"/>
      <c r="AR174" s="859">
        <f>AH174*AM174</f>
        <v>125.20799999999998</v>
      </c>
      <c r="AS174" s="859"/>
      <c r="AT174" s="859"/>
      <c r="AU174" s="861">
        <f t="shared" si="235"/>
        <v>250.16220740740738</v>
      </c>
    </row>
    <row r="175" spans="1:47" ht="15.75" thickBot="1">
      <c r="A175" s="858">
        <v>4</v>
      </c>
      <c r="B175" s="858" t="s">
        <v>1024</v>
      </c>
      <c r="C175" s="858">
        <v>2</v>
      </c>
      <c r="D175" s="859">
        <v>0.8</v>
      </c>
      <c r="E175" s="859">
        <f>D175</f>
        <v>0.8</v>
      </c>
      <c r="F175" s="859">
        <v>3</v>
      </c>
      <c r="G175" s="858">
        <v>0.12</v>
      </c>
      <c r="H175" s="859">
        <f t="shared" si="236"/>
        <v>2.88</v>
      </c>
      <c r="I175" s="859">
        <f t="shared" si="237"/>
        <v>3.6863999999999999</v>
      </c>
      <c r="J175" s="859">
        <f t="shared" si="238"/>
        <v>18.431999999999999</v>
      </c>
      <c r="K175" s="792"/>
      <c r="L175" s="858">
        <v>25</v>
      </c>
      <c r="M175" s="858"/>
      <c r="N175" s="858">
        <v>10</v>
      </c>
      <c r="O175" s="858"/>
      <c r="P175" s="858"/>
      <c r="Q175" s="858">
        <v>0.1</v>
      </c>
      <c r="R175" s="858">
        <v>0.15</v>
      </c>
      <c r="S175" s="858">
        <v>0.1</v>
      </c>
      <c r="T175" s="858">
        <v>16</v>
      </c>
      <c r="U175" s="858"/>
      <c r="V175" s="861">
        <f t="shared" si="230"/>
        <v>8.1999999999999993</v>
      </c>
      <c r="W175" s="861">
        <f t="shared" si="231"/>
        <v>10.6</v>
      </c>
      <c r="X175" s="861">
        <f t="shared" si="232"/>
        <v>8.1999999999999993</v>
      </c>
      <c r="Y175" s="861"/>
      <c r="Z175" s="861"/>
      <c r="AA175" s="859">
        <f t="shared" si="239"/>
        <v>4.55</v>
      </c>
      <c r="AB175" s="859"/>
      <c r="AC175" s="858">
        <f t="shared" si="240"/>
        <v>3.08</v>
      </c>
      <c r="AD175" s="862">
        <f t="shared" si="241"/>
        <v>0.74</v>
      </c>
      <c r="AE175" s="862">
        <f t="shared" si="242"/>
        <v>0.74</v>
      </c>
      <c r="AF175" s="859">
        <f t="shared" si="243"/>
        <v>145.6</v>
      </c>
      <c r="AG175" s="859"/>
      <c r="AH175" s="859">
        <f t="shared" si="244"/>
        <v>166.32</v>
      </c>
      <c r="AI175" s="859"/>
      <c r="AJ175" s="859"/>
      <c r="AK175" s="863">
        <f t="shared" si="233"/>
        <v>3.8541666666666665</v>
      </c>
      <c r="AL175" s="863"/>
      <c r="AM175" s="863">
        <f t="shared" si="234"/>
        <v>0.61666666666666659</v>
      </c>
      <c r="AN175" s="863"/>
      <c r="AO175" s="863"/>
      <c r="AP175" s="859">
        <f>AF175*AK175</f>
        <v>561.16666666666663</v>
      </c>
      <c r="AQ175" s="859"/>
      <c r="AR175" s="859">
        <f>AH175*AM175</f>
        <v>102.56399999999998</v>
      </c>
      <c r="AS175" s="859"/>
      <c r="AT175" s="859"/>
      <c r="AU175" s="861">
        <f t="shared" si="235"/>
        <v>180.04846643518516</v>
      </c>
    </row>
    <row r="176" spans="1:47" ht="15.75" thickBot="1">
      <c r="A176" s="792"/>
      <c r="B176" s="792"/>
      <c r="C176" s="792"/>
      <c r="D176" s="794"/>
      <c r="E176" s="794"/>
      <c r="F176" s="794"/>
      <c r="G176" s="792"/>
      <c r="H176" s="792"/>
      <c r="I176" s="794"/>
      <c r="J176" s="794"/>
      <c r="K176" s="792"/>
      <c r="L176" s="879"/>
      <c r="M176" s="915"/>
      <c r="N176" s="898"/>
      <c r="O176" s="898"/>
      <c r="P176" s="898"/>
      <c r="Q176" s="898"/>
      <c r="R176" s="898"/>
      <c r="S176" s="898"/>
      <c r="T176" s="898"/>
      <c r="U176" s="898"/>
      <c r="V176" s="916"/>
      <c r="W176" s="916"/>
      <c r="X176" s="916"/>
      <c r="Y176" s="916"/>
      <c r="Z176" s="916"/>
      <c r="AA176" s="899"/>
      <c r="AB176" s="899"/>
      <c r="AC176" s="898"/>
      <c r="AD176" s="917"/>
      <c r="AE176" s="917"/>
      <c r="AF176" s="899"/>
      <c r="AG176" s="899"/>
      <c r="AH176" s="899"/>
      <c r="AI176" s="899"/>
      <c r="AJ176" s="899"/>
      <c r="AK176" s="918"/>
      <c r="AL176" s="918"/>
      <c r="AM176" s="918"/>
      <c r="AN176" s="918"/>
      <c r="AO176" s="918"/>
      <c r="AP176" s="899"/>
      <c r="AQ176" s="899"/>
      <c r="AR176" s="899"/>
      <c r="AS176" s="899"/>
      <c r="AT176" s="899"/>
      <c r="AU176" s="919"/>
    </row>
    <row r="177" spans="1:47">
      <c r="A177" s="796" t="s">
        <v>66</v>
      </c>
      <c r="B177" s="797" t="s">
        <v>983</v>
      </c>
      <c r="C177" s="797"/>
      <c r="D177" s="798" t="s">
        <v>984</v>
      </c>
      <c r="E177" s="798"/>
      <c r="F177" s="798"/>
      <c r="G177" s="799" t="s">
        <v>985</v>
      </c>
      <c r="H177" s="799" t="s">
        <v>986</v>
      </c>
      <c r="I177" s="798" t="s">
        <v>392</v>
      </c>
      <c r="J177" s="800" t="s">
        <v>377</v>
      </c>
      <c r="K177" s="792"/>
      <c r="L177" s="914" t="s">
        <v>987</v>
      </c>
      <c r="M177" s="802"/>
      <c r="N177" s="803" t="s">
        <v>988</v>
      </c>
      <c r="O177" s="803"/>
      <c r="P177" s="803"/>
      <c r="Q177" s="803" t="s">
        <v>989</v>
      </c>
      <c r="R177" s="803"/>
      <c r="S177" s="803"/>
      <c r="T177" s="804"/>
      <c r="U177" s="805"/>
      <c r="V177" s="806" t="s">
        <v>990</v>
      </c>
      <c r="W177" s="806"/>
      <c r="X177" s="806"/>
      <c r="Y177" s="806"/>
      <c r="Z177" s="806"/>
      <c r="AA177" s="807" t="s">
        <v>991</v>
      </c>
      <c r="AB177" s="808"/>
      <c r="AC177" s="809" t="s">
        <v>1030</v>
      </c>
      <c r="AD177" s="809"/>
      <c r="AE177" s="809"/>
      <c r="AF177" s="810" t="s">
        <v>993</v>
      </c>
      <c r="AG177" s="811"/>
      <c r="AH177" s="798" t="s">
        <v>994</v>
      </c>
      <c r="AI177" s="798"/>
      <c r="AJ177" s="798"/>
      <c r="AK177" s="812" t="s">
        <v>995</v>
      </c>
      <c r="AL177" s="813"/>
      <c r="AM177" s="814" t="s">
        <v>996</v>
      </c>
      <c r="AN177" s="814"/>
      <c r="AO177" s="814"/>
      <c r="AP177" s="798" t="s">
        <v>997</v>
      </c>
      <c r="AQ177" s="798"/>
      <c r="AR177" s="798"/>
      <c r="AS177" s="798"/>
      <c r="AT177" s="798"/>
      <c r="AU177" s="815" t="s">
        <v>998</v>
      </c>
    </row>
    <row r="178" spans="1:47" ht="15.75" thickBot="1">
      <c r="A178" s="816"/>
      <c r="B178" s="817" t="s">
        <v>372</v>
      </c>
      <c r="C178" s="817" t="s">
        <v>372</v>
      </c>
      <c r="D178" s="818" t="s">
        <v>999</v>
      </c>
      <c r="E178" s="818" t="s">
        <v>1000</v>
      </c>
      <c r="F178" s="818" t="s">
        <v>1001</v>
      </c>
      <c r="G178" s="819" t="s">
        <v>1002</v>
      </c>
      <c r="H178" s="819" t="s">
        <v>1003</v>
      </c>
      <c r="I178" s="818"/>
      <c r="J178" s="820"/>
      <c r="K178" s="792"/>
      <c r="L178" s="821" t="s">
        <v>1006</v>
      </c>
      <c r="M178" s="822"/>
      <c r="N178" s="819" t="s">
        <v>1004</v>
      </c>
      <c r="O178" s="819" t="s">
        <v>1005</v>
      </c>
      <c r="P178" s="819"/>
      <c r="Q178" s="819" t="s">
        <v>1001</v>
      </c>
      <c r="R178" s="819" t="s">
        <v>1000</v>
      </c>
      <c r="S178" s="819" t="s">
        <v>1001</v>
      </c>
      <c r="T178" s="823" t="s">
        <v>1006</v>
      </c>
      <c r="U178" s="824"/>
      <c r="V178" s="825" t="s">
        <v>1007</v>
      </c>
      <c r="W178" s="825"/>
      <c r="X178" s="825"/>
      <c r="Y178" s="825" t="s">
        <v>1005</v>
      </c>
      <c r="Z178" s="825"/>
      <c r="AA178" s="826" t="s">
        <v>1008</v>
      </c>
      <c r="AB178" s="827"/>
      <c r="AC178" s="819" t="s">
        <v>1004</v>
      </c>
      <c r="AD178" s="828" t="s">
        <v>1005</v>
      </c>
      <c r="AE178" s="828"/>
      <c r="AF178" s="829" t="s">
        <v>1006</v>
      </c>
      <c r="AG178" s="830"/>
      <c r="AH178" s="818" t="s">
        <v>1004</v>
      </c>
      <c r="AI178" s="818" t="s">
        <v>1005</v>
      </c>
      <c r="AJ178" s="818"/>
      <c r="AK178" s="831" t="s">
        <v>1009</v>
      </c>
      <c r="AL178" s="832"/>
      <c r="AM178" s="833"/>
      <c r="AN178" s="833"/>
      <c r="AO178" s="833"/>
      <c r="AP178" s="818" t="s">
        <v>1006</v>
      </c>
      <c r="AQ178" s="818"/>
      <c r="AR178" s="818" t="s">
        <v>1010</v>
      </c>
      <c r="AS178" s="818"/>
      <c r="AT178" s="818"/>
      <c r="AU178" s="834" t="s">
        <v>1011</v>
      </c>
    </row>
    <row r="179" spans="1:47" ht="15.75" thickTop="1">
      <c r="A179" s="816"/>
      <c r="B179" s="817"/>
      <c r="C179" s="817"/>
      <c r="D179" s="818"/>
      <c r="E179" s="818"/>
      <c r="F179" s="818"/>
      <c r="G179" s="819"/>
      <c r="H179" s="819"/>
      <c r="I179" s="818"/>
      <c r="J179" s="820"/>
      <c r="K179" s="792"/>
      <c r="L179" s="835"/>
      <c r="M179" s="836"/>
      <c r="N179" s="819"/>
      <c r="O179" s="837" t="s">
        <v>494</v>
      </c>
      <c r="P179" s="837" t="s">
        <v>1012</v>
      </c>
      <c r="Q179" s="819"/>
      <c r="R179" s="819"/>
      <c r="S179" s="819"/>
      <c r="T179" s="838"/>
      <c r="U179" s="839"/>
      <c r="V179" s="840" t="s">
        <v>1001</v>
      </c>
      <c r="W179" s="840" t="s">
        <v>1000</v>
      </c>
      <c r="X179" s="840" t="s">
        <v>1001</v>
      </c>
      <c r="Y179" s="840" t="s">
        <v>494</v>
      </c>
      <c r="Z179" s="840" t="s">
        <v>1012</v>
      </c>
      <c r="AA179" s="841" t="s">
        <v>1013</v>
      </c>
      <c r="AB179" s="842"/>
      <c r="AC179" s="819"/>
      <c r="AD179" s="843" t="s">
        <v>494</v>
      </c>
      <c r="AE179" s="843" t="s">
        <v>1012</v>
      </c>
      <c r="AF179" s="844"/>
      <c r="AG179" s="842"/>
      <c r="AH179" s="818"/>
      <c r="AI179" s="845" t="s">
        <v>494</v>
      </c>
      <c r="AJ179" s="845" t="s">
        <v>1012</v>
      </c>
      <c r="AK179" s="846" t="s">
        <v>1013</v>
      </c>
      <c r="AL179" s="847"/>
      <c r="AM179" s="833"/>
      <c r="AN179" s="833"/>
      <c r="AO179" s="833"/>
      <c r="AP179" s="818"/>
      <c r="AQ179" s="818"/>
      <c r="AR179" s="818"/>
      <c r="AS179" s="818"/>
      <c r="AT179" s="818"/>
      <c r="AU179" s="834"/>
    </row>
    <row r="180" spans="1:47" ht="15.75" thickBot="1">
      <c r="A180" s="848"/>
      <c r="B180" s="817"/>
      <c r="C180" s="817"/>
      <c r="D180" s="849" t="s">
        <v>151</v>
      </c>
      <c r="E180" s="849"/>
      <c r="F180" s="849"/>
      <c r="G180" s="849"/>
      <c r="H180" s="849"/>
      <c r="I180" s="850" t="s">
        <v>1014</v>
      </c>
      <c r="J180" s="851" t="s">
        <v>1015</v>
      </c>
      <c r="K180" s="792"/>
      <c r="L180" s="848" t="s">
        <v>1016</v>
      </c>
      <c r="M180" s="852"/>
      <c r="N180" s="852" t="s">
        <v>1016</v>
      </c>
      <c r="O180" s="852"/>
      <c r="P180" s="852"/>
      <c r="Q180" s="852" t="s">
        <v>151</v>
      </c>
      <c r="R180" s="852"/>
      <c r="S180" s="852"/>
      <c r="T180" s="823" t="s">
        <v>34</v>
      </c>
      <c r="U180" s="853"/>
      <c r="V180" s="854" t="s">
        <v>34</v>
      </c>
      <c r="W180" s="854"/>
      <c r="X180" s="854"/>
      <c r="Y180" s="854"/>
      <c r="Z180" s="854"/>
      <c r="AA180" s="849" t="s">
        <v>151</v>
      </c>
      <c r="AB180" s="849"/>
      <c r="AC180" s="852" t="s">
        <v>151</v>
      </c>
      <c r="AD180" s="852"/>
      <c r="AE180" s="852"/>
      <c r="AF180" s="849" t="s">
        <v>151</v>
      </c>
      <c r="AG180" s="849"/>
      <c r="AH180" s="849" t="s">
        <v>151</v>
      </c>
      <c r="AI180" s="849"/>
      <c r="AJ180" s="849"/>
      <c r="AK180" s="855" t="s">
        <v>1017</v>
      </c>
      <c r="AL180" s="855"/>
      <c r="AM180" s="855"/>
      <c r="AN180" s="855"/>
      <c r="AO180" s="855"/>
      <c r="AP180" s="849" t="s">
        <v>7</v>
      </c>
      <c r="AQ180" s="849"/>
      <c r="AR180" s="849"/>
      <c r="AS180" s="849"/>
      <c r="AT180" s="849"/>
      <c r="AU180" s="856"/>
    </row>
    <row r="181" spans="1:47" ht="15.75" thickBot="1">
      <c r="A181" s="857" t="s">
        <v>1044</v>
      </c>
      <c r="B181" s="858"/>
      <c r="C181" s="858"/>
      <c r="D181" s="859"/>
      <c r="E181" s="859"/>
      <c r="F181" s="859"/>
      <c r="G181" s="858"/>
      <c r="H181" s="859"/>
      <c r="I181" s="859"/>
      <c r="J181" s="859"/>
      <c r="K181" s="792"/>
      <c r="L181" s="860" t="str">
        <f>A181</f>
        <v>Kolom Lantai 14</v>
      </c>
      <c r="M181" s="858"/>
      <c r="N181" s="858"/>
      <c r="O181" s="858"/>
      <c r="P181" s="858"/>
      <c r="Q181" s="858"/>
      <c r="R181" s="858"/>
      <c r="S181" s="858"/>
      <c r="T181" s="858"/>
      <c r="U181" s="858"/>
      <c r="V181" s="861"/>
      <c r="W181" s="861"/>
      <c r="X181" s="861"/>
      <c r="Y181" s="861"/>
      <c r="Z181" s="861"/>
      <c r="AA181" s="859"/>
      <c r="AB181" s="859"/>
      <c r="AC181" s="858"/>
      <c r="AD181" s="862"/>
      <c r="AE181" s="862"/>
      <c r="AF181" s="859"/>
      <c r="AG181" s="859"/>
      <c r="AH181" s="859"/>
      <c r="AI181" s="859"/>
      <c r="AJ181" s="859"/>
      <c r="AK181" s="863"/>
      <c r="AL181" s="863"/>
      <c r="AM181" s="863"/>
      <c r="AN181" s="863"/>
      <c r="AO181" s="863"/>
      <c r="AP181" s="859"/>
      <c r="AQ181" s="859"/>
      <c r="AR181" s="859"/>
      <c r="AS181" s="859"/>
      <c r="AT181" s="859"/>
      <c r="AU181" s="861"/>
    </row>
    <row r="182" spans="1:47" ht="15.75" thickBot="1">
      <c r="A182" s="858">
        <v>1</v>
      </c>
      <c r="B182" s="858" t="s">
        <v>1019</v>
      </c>
      <c r="C182" s="858">
        <v>17</v>
      </c>
      <c r="D182" s="859">
        <v>0.5</v>
      </c>
      <c r="E182" s="859">
        <f>D182</f>
        <v>0.5</v>
      </c>
      <c r="F182" s="859">
        <v>3</v>
      </c>
      <c r="G182" s="858">
        <v>0.12</v>
      </c>
      <c r="H182" s="859">
        <f>F182-G182</f>
        <v>2.88</v>
      </c>
      <c r="I182" s="859">
        <f>H182*E182*D182*C182</f>
        <v>12.24</v>
      </c>
      <c r="J182" s="859">
        <f>(D182+D182+E182+E182)*H182*C182</f>
        <v>97.92</v>
      </c>
      <c r="K182" s="792"/>
      <c r="L182" s="858">
        <v>16</v>
      </c>
      <c r="M182" s="858"/>
      <c r="N182" s="858">
        <v>10</v>
      </c>
      <c r="O182" s="858"/>
      <c r="P182" s="858"/>
      <c r="Q182" s="858">
        <v>0.1</v>
      </c>
      <c r="R182" s="858">
        <v>0.15</v>
      </c>
      <c r="S182" s="858">
        <v>0.1</v>
      </c>
      <c r="T182" s="858">
        <v>16</v>
      </c>
      <c r="U182" s="858"/>
      <c r="V182" s="861">
        <f t="shared" ref="V182:V185" si="247">(H182/4)/Q182+1</f>
        <v>8.1999999999999993</v>
      </c>
      <c r="W182" s="861">
        <f t="shared" ref="W182:W185" si="248">(H182/2)/R182+1</f>
        <v>10.6</v>
      </c>
      <c r="X182" s="861">
        <f t="shared" ref="X182:X185" si="249">(H182/4)/S182+1</f>
        <v>8.1999999999999993</v>
      </c>
      <c r="Y182" s="861"/>
      <c r="Z182" s="861"/>
      <c r="AA182" s="859">
        <f>(H182)+(2*6*L182/1000)+(50*L182/1000)+(0.12)</f>
        <v>3.992</v>
      </c>
      <c r="AB182" s="859"/>
      <c r="AC182" s="858">
        <f>(2*D182)+(2*E182)+(2*6*N182/1000)-(8*0.03)</f>
        <v>1.8800000000000001</v>
      </c>
      <c r="AD182" s="862">
        <f>(E182)+(2*6*O182/1000)-(2*0.03)</f>
        <v>0.44</v>
      </c>
      <c r="AE182" s="862">
        <f>(D182)+(2*6*P182/1000)-(2*0.03)</f>
        <v>0.44</v>
      </c>
      <c r="AF182" s="859">
        <f>AA182*T182*C182</f>
        <v>1085.8240000000001</v>
      </c>
      <c r="AG182" s="859"/>
      <c r="AH182" s="859">
        <f>AC182*(V182+W182+X182)*C182</f>
        <v>862.92</v>
      </c>
      <c r="AI182" s="859"/>
      <c r="AJ182" s="859"/>
      <c r="AK182" s="863">
        <f t="shared" ref="AK182:AK185" si="250">L182*L182*0.074/12</f>
        <v>1.5786666666666667</v>
      </c>
      <c r="AL182" s="863"/>
      <c r="AM182" s="863">
        <f t="shared" ref="AM182:AM185" si="251">N182*N182*0.074/12</f>
        <v>0.61666666666666659</v>
      </c>
      <c r="AN182" s="863"/>
      <c r="AO182" s="863"/>
      <c r="AP182" s="859">
        <f>AF182*AK182</f>
        <v>1714.1541546666667</v>
      </c>
      <c r="AQ182" s="859"/>
      <c r="AR182" s="859">
        <f>AH182*AM182</f>
        <v>532.1339999999999</v>
      </c>
      <c r="AS182" s="859"/>
      <c r="AT182" s="859"/>
      <c r="AU182" s="861">
        <f t="shared" ref="AU182:AU185" si="252">SUM(AP182:AT182)/I182</f>
        <v>183.52027407407408</v>
      </c>
    </row>
    <row r="183" spans="1:47" ht="15.75" thickBot="1">
      <c r="A183" s="858">
        <v>2</v>
      </c>
      <c r="B183" s="858" t="s">
        <v>1020</v>
      </c>
      <c r="C183" s="858">
        <v>4</v>
      </c>
      <c r="D183" s="859">
        <v>0.6</v>
      </c>
      <c r="E183" s="859">
        <f>D183</f>
        <v>0.6</v>
      </c>
      <c r="F183" s="859">
        <v>3</v>
      </c>
      <c r="G183" s="858">
        <v>0.12</v>
      </c>
      <c r="H183" s="859">
        <f t="shared" ref="H183:H185" si="253">F183-G183</f>
        <v>2.88</v>
      </c>
      <c r="I183" s="859">
        <f t="shared" ref="I183:I185" si="254">H183*E183*D183*C183</f>
        <v>4.1471999999999998</v>
      </c>
      <c r="J183" s="859">
        <f t="shared" ref="J183:J185" si="255">(D183+D183+E183+E183)*H183*C183</f>
        <v>27.648</v>
      </c>
      <c r="K183" s="792"/>
      <c r="L183" s="858">
        <v>16</v>
      </c>
      <c r="M183" s="858">
        <v>19</v>
      </c>
      <c r="N183" s="858">
        <v>10</v>
      </c>
      <c r="O183" s="858"/>
      <c r="P183" s="858"/>
      <c r="Q183" s="858">
        <v>0.1</v>
      </c>
      <c r="R183" s="858">
        <v>0.15</v>
      </c>
      <c r="S183" s="858">
        <v>0.1</v>
      </c>
      <c r="T183" s="858">
        <v>8</v>
      </c>
      <c r="U183" s="858">
        <v>8</v>
      </c>
      <c r="V183" s="861">
        <f t="shared" si="247"/>
        <v>8.1999999999999993</v>
      </c>
      <c r="W183" s="861">
        <f t="shared" si="248"/>
        <v>10.6</v>
      </c>
      <c r="X183" s="861">
        <f t="shared" si="249"/>
        <v>8.1999999999999993</v>
      </c>
      <c r="Y183" s="861"/>
      <c r="Z183" s="861"/>
      <c r="AA183" s="859">
        <f t="shared" ref="AA183:AA185" si="256">(H183)+(2*6*L183/1000)+(50*L183/1000)+(0.12)</f>
        <v>3.992</v>
      </c>
      <c r="AB183" s="859">
        <f>(H183)+(2*6*M183/1000)+(50*M183/1000)+(0.12)</f>
        <v>4.1779999999999999</v>
      </c>
      <c r="AC183" s="858">
        <f t="shared" ref="AC183:AC185" si="257">(2*D183)+(2*E183)+(2*6*N183/1000)-(8*0.03)</f>
        <v>2.2800000000000002</v>
      </c>
      <c r="AD183" s="862">
        <f t="shared" ref="AD183:AD185" si="258">(E183)+(2*6*O183/1000)-(2*0.03)</f>
        <v>0.54</v>
      </c>
      <c r="AE183" s="862">
        <f t="shared" ref="AE183:AE185" si="259">(D183)+(2*6*P183/1000)-(2*0.03)</f>
        <v>0.54</v>
      </c>
      <c r="AF183" s="859">
        <f t="shared" ref="AF183:AF185" si="260">AA183*T183*C183</f>
        <v>127.744</v>
      </c>
      <c r="AG183" s="859">
        <f>AG173</f>
        <v>133.696</v>
      </c>
      <c r="AH183" s="859">
        <f t="shared" ref="AH183:AH185" si="261">AC183*(V183+W183+X183)*C183</f>
        <v>246.23999999999998</v>
      </c>
      <c r="AI183" s="859"/>
      <c r="AJ183" s="859"/>
      <c r="AK183" s="863">
        <f t="shared" si="250"/>
        <v>1.5786666666666667</v>
      </c>
      <c r="AL183" s="863">
        <f>AL173</f>
        <v>2.2261666666666664</v>
      </c>
      <c r="AM183" s="863">
        <f t="shared" si="251"/>
        <v>0.61666666666666659</v>
      </c>
      <c r="AN183" s="863"/>
      <c r="AO183" s="863"/>
      <c r="AP183" s="859">
        <f t="shared" ref="AP183" si="262">AF183*AK183</f>
        <v>201.66519466666668</v>
      </c>
      <c r="AQ183" s="859">
        <f>AQ173</f>
        <v>297.62957866666665</v>
      </c>
      <c r="AR183" s="859">
        <f t="shared" ref="AR183" si="263">AH183*AM183</f>
        <v>151.84799999999996</v>
      </c>
      <c r="AS183" s="859"/>
      <c r="AT183" s="859"/>
      <c r="AU183" s="861">
        <f t="shared" si="252"/>
        <v>157.00780606995883</v>
      </c>
    </row>
    <row r="184" spans="1:47" ht="15.75" thickBot="1">
      <c r="A184" s="858">
        <v>3</v>
      </c>
      <c r="B184" s="858" t="s">
        <v>1023</v>
      </c>
      <c r="C184" s="858">
        <v>4</v>
      </c>
      <c r="D184" s="859">
        <v>0.5</v>
      </c>
      <c r="E184" s="859">
        <f>D184</f>
        <v>0.5</v>
      </c>
      <c r="F184" s="859">
        <v>3</v>
      </c>
      <c r="G184" s="858">
        <v>0.12</v>
      </c>
      <c r="H184" s="859">
        <f t="shared" si="253"/>
        <v>2.88</v>
      </c>
      <c r="I184" s="859">
        <f t="shared" si="254"/>
        <v>2.88</v>
      </c>
      <c r="J184" s="859">
        <f t="shared" si="255"/>
        <v>23.04</v>
      </c>
      <c r="K184" s="792"/>
      <c r="L184" s="858">
        <v>19</v>
      </c>
      <c r="M184" s="858"/>
      <c r="N184" s="858">
        <v>10</v>
      </c>
      <c r="O184" s="858"/>
      <c r="P184" s="858"/>
      <c r="Q184" s="858">
        <v>0.1</v>
      </c>
      <c r="R184" s="858">
        <v>0.15</v>
      </c>
      <c r="S184" s="858">
        <v>0.1</v>
      </c>
      <c r="T184" s="858">
        <v>16</v>
      </c>
      <c r="U184" s="858"/>
      <c r="V184" s="861">
        <f t="shared" si="247"/>
        <v>8.1999999999999993</v>
      </c>
      <c r="W184" s="861">
        <f t="shared" si="248"/>
        <v>10.6</v>
      </c>
      <c r="X184" s="861">
        <f t="shared" si="249"/>
        <v>8.1999999999999993</v>
      </c>
      <c r="Y184" s="861"/>
      <c r="Z184" s="861"/>
      <c r="AA184" s="859">
        <f t="shared" si="256"/>
        <v>4.1779999999999999</v>
      </c>
      <c r="AB184" s="859"/>
      <c r="AC184" s="858">
        <f t="shared" si="257"/>
        <v>1.8800000000000001</v>
      </c>
      <c r="AD184" s="862">
        <f t="shared" si="258"/>
        <v>0.44</v>
      </c>
      <c r="AE184" s="862">
        <f t="shared" si="259"/>
        <v>0.44</v>
      </c>
      <c r="AF184" s="859">
        <f t="shared" si="260"/>
        <v>267.392</v>
      </c>
      <c r="AG184" s="859"/>
      <c r="AH184" s="859">
        <f t="shared" si="261"/>
        <v>203.04</v>
      </c>
      <c r="AI184" s="859"/>
      <c r="AJ184" s="859"/>
      <c r="AK184" s="863">
        <f t="shared" si="250"/>
        <v>2.2261666666666664</v>
      </c>
      <c r="AL184" s="863"/>
      <c r="AM184" s="863">
        <f t="shared" si="251"/>
        <v>0.61666666666666659</v>
      </c>
      <c r="AN184" s="863"/>
      <c r="AO184" s="863"/>
      <c r="AP184" s="859">
        <f>AF184*AK184</f>
        <v>595.25915733333329</v>
      </c>
      <c r="AQ184" s="859"/>
      <c r="AR184" s="859">
        <f>AH184*AM184</f>
        <v>125.20799999999998</v>
      </c>
      <c r="AS184" s="859"/>
      <c r="AT184" s="859"/>
      <c r="AU184" s="861">
        <f t="shared" si="252"/>
        <v>250.16220740740738</v>
      </c>
    </row>
    <row r="185" spans="1:47" ht="15.75" thickBot="1">
      <c r="A185" s="858">
        <v>4</v>
      </c>
      <c r="B185" s="858" t="s">
        <v>1024</v>
      </c>
      <c r="C185" s="858">
        <v>2</v>
      </c>
      <c r="D185" s="859">
        <v>0.8</v>
      </c>
      <c r="E185" s="859">
        <f>D185</f>
        <v>0.8</v>
      </c>
      <c r="F185" s="859">
        <v>3</v>
      </c>
      <c r="G185" s="858">
        <v>0.12</v>
      </c>
      <c r="H185" s="859">
        <f t="shared" si="253"/>
        <v>2.88</v>
      </c>
      <c r="I185" s="859">
        <f t="shared" si="254"/>
        <v>3.6863999999999999</v>
      </c>
      <c r="J185" s="859">
        <f t="shared" si="255"/>
        <v>18.431999999999999</v>
      </c>
      <c r="K185" s="792"/>
      <c r="L185" s="858">
        <v>25</v>
      </c>
      <c r="M185" s="858"/>
      <c r="N185" s="858">
        <v>10</v>
      </c>
      <c r="O185" s="858"/>
      <c r="P185" s="858"/>
      <c r="Q185" s="858">
        <v>0.1</v>
      </c>
      <c r="R185" s="858">
        <v>0.15</v>
      </c>
      <c r="S185" s="858">
        <v>0.1</v>
      </c>
      <c r="T185" s="858">
        <v>16</v>
      </c>
      <c r="U185" s="858"/>
      <c r="V185" s="861">
        <f t="shared" si="247"/>
        <v>8.1999999999999993</v>
      </c>
      <c r="W185" s="861">
        <f t="shared" si="248"/>
        <v>10.6</v>
      </c>
      <c r="X185" s="861">
        <f t="shared" si="249"/>
        <v>8.1999999999999993</v>
      </c>
      <c r="Y185" s="861"/>
      <c r="Z185" s="861"/>
      <c r="AA185" s="859">
        <f t="shared" si="256"/>
        <v>4.55</v>
      </c>
      <c r="AB185" s="859"/>
      <c r="AC185" s="858">
        <f t="shared" si="257"/>
        <v>3.08</v>
      </c>
      <c r="AD185" s="862">
        <f t="shared" si="258"/>
        <v>0.74</v>
      </c>
      <c r="AE185" s="862">
        <f t="shared" si="259"/>
        <v>0.74</v>
      </c>
      <c r="AF185" s="859">
        <f t="shared" si="260"/>
        <v>145.6</v>
      </c>
      <c r="AG185" s="859"/>
      <c r="AH185" s="859">
        <f t="shared" si="261"/>
        <v>166.32</v>
      </c>
      <c r="AI185" s="859"/>
      <c r="AJ185" s="859"/>
      <c r="AK185" s="863">
        <f t="shared" si="250"/>
        <v>3.8541666666666665</v>
      </c>
      <c r="AL185" s="863"/>
      <c r="AM185" s="863">
        <f t="shared" si="251"/>
        <v>0.61666666666666659</v>
      </c>
      <c r="AN185" s="863"/>
      <c r="AO185" s="863"/>
      <c r="AP185" s="859">
        <f>AF185*AK185</f>
        <v>561.16666666666663</v>
      </c>
      <c r="AQ185" s="859"/>
      <c r="AR185" s="859">
        <f>AH185*AM185</f>
        <v>102.56399999999998</v>
      </c>
      <c r="AS185" s="859"/>
      <c r="AT185" s="859"/>
      <c r="AU185" s="861">
        <f t="shared" si="252"/>
        <v>180.04846643518516</v>
      </c>
    </row>
    <row r="186" spans="1:47" ht="15.75" thickBot="1">
      <c r="A186" s="792"/>
      <c r="B186" s="792"/>
      <c r="C186" s="792"/>
      <c r="D186" s="794"/>
      <c r="E186" s="794"/>
      <c r="F186" s="794"/>
      <c r="G186" s="792"/>
      <c r="H186" s="792"/>
      <c r="I186" s="794"/>
      <c r="J186" s="794"/>
      <c r="K186" s="792"/>
      <c r="L186" s="858"/>
      <c r="M186" s="858"/>
      <c r="N186" s="858"/>
      <c r="O186" s="858"/>
      <c r="P186" s="858"/>
      <c r="Q186" s="858"/>
      <c r="R186" s="858"/>
      <c r="S186" s="858"/>
      <c r="T186" s="858"/>
      <c r="U186" s="858"/>
      <c r="V186" s="861"/>
      <c r="W186" s="861"/>
      <c r="X186" s="861"/>
      <c r="Y186" s="861"/>
      <c r="Z186" s="861"/>
      <c r="AA186" s="859"/>
      <c r="AB186" s="859"/>
      <c r="AC186" s="858"/>
      <c r="AD186" s="862"/>
      <c r="AE186" s="862"/>
      <c r="AF186" s="859"/>
      <c r="AG186" s="859"/>
      <c r="AH186" s="859"/>
      <c r="AI186" s="859"/>
      <c r="AJ186" s="859"/>
      <c r="AK186" s="863"/>
      <c r="AL186" s="863"/>
      <c r="AM186" s="863"/>
      <c r="AN186" s="863"/>
      <c r="AO186" s="863"/>
      <c r="AP186" s="859"/>
      <c r="AQ186" s="859"/>
      <c r="AR186" s="859"/>
      <c r="AS186" s="859"/>
      <c r="AT186" s="859"/>
      <c r="AU186" s="861"/>
    </row>
    <row r="187" spans="1:47">
      <c r="A187" s="796" t="s">
        <v>66</v>
      </c>
      <c r="B187" s="797" t="s">
        <v>983</v>
      </c>
      <c r="C187" s="797"/>
      <c r="D187" s="798" t="s">
        <v>984</v>
      </c>
      <c r="E187" s="798"/>
      <c r="F187" s="798"/>
      <c r="G187" s="799" t="s">
        <v>985</v>
      </c>
      <c r="H187" s="799" t="s">
        <v>986</v>
      </c>
      <c r="I187" s="798" t="s">
        <v>392</v>
      </c>
      <c r="J187" s="800" t="s">
        <v>377</v>
      </c>
      <c r="K187" s="792"/>
      <c r="L187" s="914" t="s">
        <v>987</v>
      </c>
      <c r="M187" s="802"/>
      <c r="N187" s="803" t="s">
        <v>988</v>
      </c>
      <c r="O187" s="803"/>
      <c r="P187" s="803"/>
      <c r="Q187" s="803" t="s">
        <v>989</v>
      </c>
      <c r="R187" s="803"/>
      <c r="S187" s="803"/>
      <c r="T187" s="804"/>
      <c r="U187" s="805"/>
      <c r="V187" s="806" t="s">
        <v>990</v>
      </c>
      <c r="W187" s="806"/>
      <c r="X187" s="806"/>
      <c r="Y187" s="806"/>
      <c r="Z187" s="806"/>
      <c r="AA187" s="807" t="s">
        <v>991</v>
      </c>
      <c r="AB187" s="808"/>
      <c r="AC187" s="809" t="s">
        <v>1030</v>
      </c>
      <c r="AD187" s="809"/>
      <c r="AE187" s="809"/>
      <c r="AF187" s="810" t="s">
        <v>993</v>
      </c>
      <c r="AG187" s="811"/>
      <c r="AH187" s="798" t="s">
        <v>994</v>
      </c>
      <c r="AI187" s="798"/>
      <c r="AJ187" s="798"/>
      <c r="AK187" s="812" t="s">
        <v>995</v>
      </c>
      <c r="AL187" s="813"/>
      <c r="AM187" s="814" t="s">
        <v>996</v>
      </c>
      <c r="AN187" s="814"/>
      <c r="AO187" s="814"/>
      <c r="AP187" s="798" t="s">
        <v>997</v>
      </c>
      <c r="AQ187" s="798"/>
      <c r="AR187" s="798"/>
      <c r="AS187" s="798"/>
      <c r="AT187" s="798"/>
      <c r="AU187" s="815" t="s">
        <v>998</v>
      </c>
    </row>
    <row r="188" spans="1:47" ht="15.75" thickBot="1">
      <c r="A188" s="816"/>
      <c r="B188" s="817" t="s">
        <v>372</v>
      </c>
      <c r="C188" s="817" t="s">
        <v>372</v>
      </c>
      <c r="D188" s="818" t="s">
        <v>999</v>
      </c>
      <c r="E188" s="818" t="s">
        <v>1000</v>
      </c>
      <c r="F188" s="818" t="s">
        <v>1001</v>
      </c>
      <c r="G188" s="819" t="s">
        <v>1002</v>
      </c>
      <c r="H188" s="819" t="s">
        <v>1003</v>
      </c>
      <c r="I188" s="818"/>
      <c r="J188" s="820"/>
      <c r="K188" s="792"/>
      <c r="L188" s="821" t="s">
        <v>1006</v>
      </c>
      <c r="M188" s="822"/>
      <c r="N188" s="819" t="s">
        <v>1004</v>
      </c>
      <c r="O188" s="819" t="s">
        <v>1005</v>
      </c>
      <c r="P188" s="819"/>
      <c r="Q188" s="819" t="s">
        <v>1001</v>
      </c>
      <c r="R188" s="819" t="s">
        <v>1000</v>
      </c>
      <c r="S188" s="819" t="s">
        <v>1001</v>
      </c>
      <c r="T188" s="823" t="s">
        <v>1006</v>
      </c>
      <c r="U188" s="824"/>
      <c r="V188" s="825" t="s">
        <v>1007</v>
      </c>
      <c r="W188" s="825"/>
      <c r="X188" s="825"/>
      <c r="Y188" s="825" t="s">
        <v>1005</v>
      </c>
      <c r="Z188" s="825"/>
      <c r="AA188" s="826" t="s">
        <v>1008</v>
      </c>
      <c r="AB188" s="827"/>
      <c r="AC188" s="819" t="s">
        <v>1004</v>
      </c>
      <c r="AD188" s="828" t="s">
        <v>1005</v>
      </c>
      <c r="AE188" s="828"/>
      <c r="AF188" s="829" t="s">
        <v>1006</v>
      </c>
      <c r="AG188" s="830"/>
      <c r="AH188" s="818" t="s">
        <v>1004</v>
      </c>
      <c r="AI188" s="818" t="s">
        <v>1005</v>
      </c>
      <c r="AJ188" s="818"/>
      <c r="AK188" s="831" t="s">
        <v>1009</v>
      </c>
      <c r="AL188" s="832"/>
      <c r="AM188" s="833"/>
      <c r="AN188" s="833"/>
      <c r="AO188" s="833"/>
      <c r="AP188" s="818" t="s">
        <v>1006</v>
      </c>
      <c r="AQ188" s="818"/>
      <c r="AR188" s="818" t="s">
        <v>1010</v>
      </c>
      <c r="AS188" s="818"/>
      <c r="AT188" s="818"/>
      <c r="AU188" s="834" t="s">
        <v>1011</v>
      </c>
    </row>
    <row r="189" spans="1:47" ht="15.75" thickTop="1">
      <c r="A189" s="816"/>
      <c r="B189" s="817"/>
      <c r="C189" s="817"/>
      <c r="D189" s="818"/>
      <c r="E189" s="818"/>
      <c r="F189" s="818"/>
      <c r="G189" s="819"/>
      <c r="H189" s="819"/>
      <c r="I189" s="818"/>
      <c r="J189" s="820"/>
      <c r="K189" s="792"/>
      <c r="L189" s="835"/>
      <c r="M189" s="836"/>
      <c r="N189" s="819"/>
      <c r="O189" s="837" t="s">
        <v>494</v>
      </c>
      <c r="P189" s="837" t="s">
        <v>1012</v>
      </c>
      <c r="Q189" s="819"/>
      <c r="R189" s="819"/>
      <c r="S189" s="819"/>
      <c r="T189" s="838"/>
      <c r="U189" s="839"/>
      <c r="V189" s="840" t="s">
        <v>1001</v>
      </c>
      <c r="W189" s="840" t="s">
        <v>1000</v>
      </c>
      <c r="X189" s="840" t="s">
        <v>1001</v>
      </c>
      <c r="Y189" s="840" t="s">
        <v>494</v>
      </c>
      <c r="Z189" s="840" t="s">
        <v>1012</v>
      </c>
      <c r="AA189" s="841" t="s">
        <v>1013</v>
      </c>
      <c r="AB189" s="842"/>
      <c r="AC189" s="819"/>
      <c r="AD189" s="843" t="s">
        <v>494</v>
      </c>
      <c r="AE189" s="843" t="s">
        <v>1012</v>
      </c>
      <c r="AF189" s="844"/>
      <c r="AG189" s="842"/>
      <c r="AH189" s="818"/>
      <c r="AI189" s="845" t="s">
        <v>494</v>
      </c>
      <c r="AJ189" s="845" t="s">
        <v>1012</v>
      </c>
      <c r="AK189" s="846" t="s">
        <v>1013</v>
      </c>
      <c r="AL189" s="847"/>
      <c r="AM189" s="833"/>
      <c r="AN189" s="833"/>
      <c r="AO189" s="833"/>
      <c r="AP189" s="818"/>
      <c r="AQ189" s="818"/>
      <c r="AR189" s="818"/>
      <c r="AS189" s="818"/>
      <c r="AT189" s="818"/>
      <c r="AU189" s="834"/>
    </row>
    <row r="190" spans="1:47" ht="15.75" thickBot="1">
      <c r="A190" s="848"/>
      <c r="B190" s="817"/>
      <c r="C190" s="817"/>
      <c r="D190" s="849" t="s">
        <v>151</v>
      </c>
      <c r="E190" s="849"/>
      <c r="F190" s="849"/>
      <c r="G190" s="849"/>
      <c r="H190" s="849"/>
      <c r="I190" s="850" t="s">
        <v>1014</v>
      </c>
      <c r="J190" s="851" t="s">
        <v>1015</v>
      </c>
      <c r="K190" s="792"/>
      <c r="L190" s="848" t="s">
        <v>1016</v>
      </c>
      <c r="M190" s="852"/>
      <c r="N190" s="852" t="s">
        <v>1016</v>
      </c>
      <c r="O190" s="852"/>
      <c r="P190" s="852"/>
      <c r="Q190" s="852" t="s">
        <v>151</v>
      </c>
      <c r="R190" s="852"/>
      <c r="S190" s="852"/>
      <c r="T190" s="823" t="s">
        <v>34</v>
      </c>
      <c r="U190" s="853"/>
      <c r="V190" s="854" t="s">
        <v>34</v>
      </c>
      <c r="W190" s="854"/>
      <c r="X190" s="854"/>
      <c r="Y190" s="854"/>
      <c r="Z190" s="854"/>
      <c r="AA190" s="849" t="s">
        <v>151</v>
      </c>
      <c r="AB190" s="849"/>
      <c r="AC190" s="852" t="s">
        <v>151</v>
      </c>
      <c r="AD190" s="852"/>
      <c r="AE190" s="852"/>
      <c r="AF190" s="849" t="s">
        <v>151</v>
      </c>
      <c r="AG190" s="849"/>
      <c r="AH190" s="849" t="s">
        <v>151</v>
      </c>
      <c r="AI190" s="849"/>
      <c r="AJ190" s="849"/>
      <c r="AK190" s="855" t="s">
        <v>1017</v>
      </c>
      <c r="AL190" s="855"/>
      <c r="AM190" s="855"/>
      <c r="AN190" s="855"/>
      <c r="AO190" s="855"/>
      <c r="AP190" s="849" t="s">
        <v>7</v>
      </c>
      <c r="AQ190" s="849"/>
      <c r="AR190" s="849"/>
      <c r="AS190" s="849"/>
      <c r="AT190" s="849"/>
      <c r="AU190" s="856"/>
    </row>
    <row r="191" spans="1:47" ht="15.75" thickBot="1">
      <c r="A191" s="857" t="s">
        <v>1045</v>
      </c>
      <c r="B191" s="858"/>
      <c r="C191" s="858"/>
      <c r="D191" s="859"/>
      <c r="E191" s="859"/>
      <c r="F191" s="859"/>
      <c r="G191" s="858"/>
      <c r="H191" s="859"/>
      <c r="I191" s="859"/>
      <c r="J191" s="859"/>
      <c r="K191" s="792"/>
      <c r="L191" s="860" t="str">
        <f>A191</f>
        <v>Kolom Lantai 15</v>
      </c>
      <c r="M191" s="858"/>
      <c r="N191" s="858"/>
      <c r="O191" s="858"/>
      <c r="P191" s="858"/>
      <c r="Q191" s="858"/>
      <c r="R191" s="858"/>
      <c r="S191" s="858"/>
      <c r="T191" s="858"/>
      <c r="U191" s="858"/>
      <c r="V191" s="861"/>
      <c r="W191" s="861"/>
      <c r="X191" s="861"/>
      <c r="Y191" s="861"/>
      <c r="Z191" s="861"/>
      <c r="AA191" s="859"/>
      <c r="AB191" s="859"/>
      <c r="AC191" s="858"/>
      <c r="AD191" s="862"/>
      <c r="AE191" s="862"/>
      <c r="AF191" s="859"/>
      <c r="AG191" s="859"/>
      <c r="AH191" s="859"/>
      <c r="AI191" s="859"/>
      <c r="AJ191" s="859"/>
      <c r="AK191" s="863"/>
      <c r="AL191" s="863"/>
      <c r="AM191" s="863"/>
      <c r="AN191" s="863"/>
      <c r="AO191" s="863"/>
      <c r="AP191" s="859"/>
      <c r="AQ191" s="859"/>
      <c r="AR191" s="859"/>
      <c r="AS191" s="859"/>
      <c r="AT191" s="859"/>
      <c r="AU191" s="861"/>
    </row>
    <row r="192" spans="1:47" ht="15.75" thickBot="1">
      <c r="A192" s="858">
        <v>1</v>
      </c>
      <c r="B192" s="858" t="s">
        <v>1019</v>
      </c>
      <c r="C192" s="858">
        <v>17</v>
      </c>
      <c r="D192" s="859">
        <v>0.5</v>
      </c>
      <c r="E192" s="859">
        <f>D192</f>
        <v>0.5</v>
      </c>
      <c r="F192" s="859">
        <v>3</v>
      </c>
      <c r="G192" s="858">
        <v>0.12</v>
      </c>
      <c r="H192" s="859">
        <f>F192-G192</f>
        <v>2.88</v>
      </c>
      <c r="I192" s="859">
        <f>H192*E192*D192*C192</f>
        <v>12.24</v>
      </c>
      <c r="J192" s="859">
        <f>(D192+D192+E192+E192)*H192*C192</f>
        <v>97.92</v>
      </c>
      <c r="K192" s="792"/>
      <c r="L192" s="858">
        <v>16</v>
      </c>
      <c r="M192" s="858"/>
      <c r="N192" s="858">
        <v>10</v>
      </c>
      <c r="O192" s="858"/>
      <c r="P192" s="858"/>
      <c r="Q192" s="858">
        <v>0.1</v>
      </c>
      <c r="R192" s="858">
        <v>0.15</v>
      </c>
      <c r="S192" s="858">
        <v>0.1</v>
      </c>
      <c r="T192" s="858">
        <v>16</v>
      </c>
      <c r="U192" s="858"/>
      <c r="V192" s="861">
        <f t="shared" ref="V192:V195" si="264">(H192/4)/Q192+1</f>
        <v>8.1999999999999993</v>
      </c>
      <c r="W192" s="861">
        <f t="shared" ref="W192:W195" si="265">(H192/2)/R192+1</f>
        <v>10.6</v>
      </c>
      <c r="X192" s="861">
        <f t="shared" ref="X192:X195" si="266">(H192/4)/S192+1</f>
        <v>8.1999999999999993</v>
      </c>
      <c r="Y192" s="861"/>
      <c r="Z192" s="861"/>
      <c r="AA192" s="859">
        <f>(H192)+(2*6*L192/1000)+(50*L192/1000)+(0.12)</f>
        <v>3.992</v>
      </c>
      <c r="AB192" s="859"/>
      <c r="AC192" s="858">
        <f>(2*D192)+(2*E192)+(2*6*N192/1000)-(8*0.03)</f>
        <v>1.8800000000000001</v>
      </c>
      <c r="AD192" s="862">
        <f>(E192)+(2*6*O192/1000)-(2*0.03)</f>
        <v>0.44</v>
      </c>
      <c r="AE192" s="862">
        <f>(D192)+(2*6*P192/1000)-(2*0.03)</f>
        <v>0.44</v>
      </c>
      <c r="AF192" s="859">
        <f>AA192*T192*C192</f>
        <v>1085.8240000000001</v>
      </c>
      <c r="AG192" s="859"/>
      <c r="AH192" s="859">
        <f>AC192*(V192+W192+X192)*C192</f>
        <v>862.92</v>
      </c>
      <c r="AI192" s="859">
        <f t="shared" ref="AI192:AI195" si="267">(AD192*Y192*(V192+W192+X192)*C192)</f>
        <v>0</v>
      </c>
      <c r="AJ192" s="859">
        <f t="shared" ref="AJ192:AJ195" si="268">(AE192*Z192*(V192+W192+X192)*C192)</f>
        <v>0</v>
      </c>
      <c r="AK192" s="863">
        <f t="shared" ref="AK192:AK195" si="269">L192*L192*0.074/12</f>
        <v>1.5786666666666667</v>
      </c>
      <c r="AL192" s="863"/>
      <c r="AM192" s="863">
        <f t="shared" ref="AM192:AO195" si="270">N192*N192*0.074/12</f>
        <v>0.61666666666666659</v>
      </c>
      <c r="AN192" s="863">
        <f t="shared" si="270"/>
        <v>0</v>
      </c>
      <c r="AO192" s="863">
        <f t="shared" si="270"/>
        <v>0</v>
      </c>
      <c r="AP192" s="859">
        <f>AF192*AK192</f>
        <v>1714.1541546666667</v>
      </c>
      <c r="AQ192" s="859"/>
      <c r="AR192" s="859">
        <f>AH192*AM192</f>
        <v>532.1339999999999</v>
      </c>
      <c r="AS192" s="859">
        <f>AI192*AN192</f>
        <v>0</v>
      </c>
      <c r="AT192" s="859">
        <f t="shared" ref="AT192:AT195" si="271">AJ192*AO192</f>
        <v>0</v>
      </c>
      <c r="AU192" s="861">
        <f t="shared" ref="AU192:AU195" si="272">SUM(AP192:AT192)/I192</f>
        <v>183.52027407407408</v>
      </c>
    </row>
    <row r="193" spans="1:47" ht="15.75" thickBot="1">
      <c r="A193" s="858">
        <v>2</v>
      </c>
      <c r="B193" s="858" t="s">
        <v>1020</v>
      </c>
      <c r="C193" s="858">
        <v>4</v>
      </c>
      <c r="D193" s="859">
        <v>0.6</v>
      </c>
      <c r="E193" s="859">
        <f>D193</f>
        <v>0.6</v>
      </c>
      <c r="F193" s="859">
        <v>3</v>
      </c>
      <c r="G193" s="858">
        <v>0.12</v>
      </c>
      <c r="H193" s="859">
        <f t="shared" ref="H193:H195" si="273">F193-G193</f>
        <v>2.88</v>
      </c>
      <c r="I193" s="859">
        <f t="shared" ref="I193:I195" si="274">H193*E193*D193*C193</f>
        <v>4.1471999999999998</v>
      </c>
      <c r="J193" s="859">
        <f t="shared" ref="J193:J195" si="275">(D193+D193+E193+E193)*H193*C193</f>
        <v>27.648</v>
      </c>
      <c r="K193" s="792"/>
      <c r="L193" s="858">
        <v>16</v>
      </c>
      <c r="M193" s="858">
        <v>19</v>
      </c>
      <c r="N193" s="858">
        <v>10</v>
      </c>
      <c r="O193" s="858"/>
      <c r="P193" s="858"/>
      <c r="Q193" s="858">
        <v>0.1</v>
      </c>
      <c r="R193" s="858">
        <v>0.15</v>
      </c>
      <c r="S193" s="858">
        <v>0.1</v>
      </c>
      <c r="T193" s="858">
        <v>8</v>
      </c>
      <c r="U193" s="858">
        <v>8</v>
      </c>
      <c r="V193" s="861">
        <f t="shared" si="264"/>
        <v>8.1999999999999993</v>
      </c>
      <c r="W193" s="861">
        <f t="shared" si="265"/>
        <v>10.6</v>
      </c>
      <c r="X193" s="861">
        <f t="shared" si="266"/>
        <v>8.1999999999999993</v>
      </c>
      <c r="Y193" s="861"/>
      <c r="Z193" s="861"/>
      <c r="AA193" s="859">
        <f t="shared" ref="AA193:AA195" si="276">(H193)+(2*6*L193/1000)+(50*L193/1000)+(0.12)</f>
        <v>3.992</v>
      </c>
      <c r="AB193" s="859">
        <f>AB183</f>
        <v>4.1779999999999999</v>
      </c>
      <c r="AC193" s="858">
        <f t="shared" ref="AC193:AC195" si="277">(2*D193)+(2*E193)+(2*6*N193/1000)-(8*0.03)</f>
        <v>2.2800000000000002</v>
      </c>
      <c r="AD193" s="862">
        <f t="shared" ref="AD193:AD195" si="278">(E193)+(2*6*O193/1000)-(2*0.03)</f>
        <v>0.54</v>
      </c>
      <c r="AE193" s="862">
        <f t="shared" ref="AE193:AE195" si="279">(D193)+(2*6*P193/1000)-(2*0.03)</f>
        <v>0.54</v>
      </c>
      <c r="AF193" s="859">
        <f t="shared" ref="AF193:AF195" si="280">AA193*T193*C193</f>
        <v>127.744</v>
      </c>
      <c r="AG193" s="859">
        <f>AG183</f>
        <v>133.696</v>
      </c>
      <c r="AH193" s="859">
        <f t="shared" ref="AH193:AH195" si="281">AC193*(V193+W193+X193)*C193</f>
        <v>246.23999999999998</v>
      </c>
      <c r="AI193" s="859">
        <f t="shared" si="267"/>
        <v>0</v>
      </c>
      <c r="AJ193" s="859">
        <f t="shared" si="268"/>
        <v>0</v>
      </c>
      <c r="AK193" s="863">
        <f t="shared" si="269"/>
        <v>1.5786666666666667</v>
      </c>
      <c r="AL193" s="863">
        <f>AL183</f>
        <v>2.2261666666666664</v>
      </c>
      <c r="AM193" s="863">
        <f t="shared" si="270"/>
        <v>0.61666666666666659</v>
      </c>
      <c r="AN193" s="863">
        <f t="shared" si="270"/>
        <v>0</v>
      </c>
      <c r="AO193" s="863">
        <f t="shared" si="270"/>
        <v>0</v>
      </c>
      <c r="AP193" s="859">
        <f t="shared" ref="AP193" si="282">AF193*AK193</f>
        <v>201.66519466666668</v>
      </c>
      <c r="AQ193" s="859">
        <f>AQ183</f>
        <v>297.62957866666665</v>
      </c>
      <c r="AR193" s="859">
        <f t="shared" ref="AR193:AS195" si="283">AH193*AM193</f>
        <v>151.84799999999996</v>
      </c>
      <c r="AS193" s="859">
        <f t="shared" si="283"/>
        <v>0</v>
      </c>
      <c r="AT193" s="859">
        <f t="shared" si="271"/>
        <v>0</v>
      </c>
      <c r="AU193" s="861">
        <f t="shared" si="272"/>
        <v>157.00780606995883</v>
      </c>
    </row>
    <row r="194" spans="1:47" ht="15.75" thickBot="1">
      <c r="A194" s="858">
        <v>3</v>
      </c>
      <c r="B194" s="858" t="s">
        <v>1023</v>
      </c>
      <c r="C194" s="858">
        <v>4</v>
      </c>
      <c r="D194" s="859">
        <v>0.5</v>
      </c>
      <c r="E194" s="859">
        <f>D194</f>
        <v>0.5</v>
      </c>
      <c r="F194" s="859">
        <v>3</v>
      </c>
      <c r="G194" s="858">
        <v>0.12</v>
      </c>
      <c r="H194" s="859">
        <f t="shared" si="273"/>
        <v>2.88</v>
      </c>
      <c r="I194" s="859">
        <f t="shared" si="274"/>
        <v>2.88</v>
      </c>
      <c r="J194" s="859">
        <f t="shared" si="275"/>
        <v>23.04</v>
      </c>
      <c r="K194" s="792"/>
      <c r="L194" s="858">
        <v>19</v>
      </c>
      <c r="M194" s="858"/>
      <c r="N194" s="858">
        <v>10</v>
      </c>
      <c r="O194" s="858"/>
      <c r="P194" s="858"/>
      <c r="Q194" s="858">
        <v>0.1</v>
      </c>
      <c r="R194" s="858">
        <v>0.15</v>
      </c>
      <c r="S194" s="858">
        <v>0.1</v>
      </c>
      <c r="T194" s="858">
        <v>16</v>
      </c>
      <c r="U194" s="858"/>
      <c r="V194" s="861">
        <f t="shared" si="264"/>
        <v>8.1999999999999993</v>
      </c>
      <c r="W194" s="861">
        <f t="shared" si="265"/>
        <v>10.6</v>
      </c>
      <c r="X194" s="861">
        <f t="shared" si="266"/>
        <v>8.1999999999999993</v>
      </c>
      <c r="Y194" s="861"/>
      <c r="Z194" s="861"/>
      <c r="AA194" s="859">
        <f t="shared" si="276"/>
        <v>4.1779999999999999</v>
      </c>
      <c r="AB194" s="859"/>
      <c r="AC194" s="858">
        <f t="shared" si="277"/>
        <v>1.8800000000000001</v>
      </c>
      <c r="AD194" s="862">
        <f t="shared" si="278"/>
        <v>0.44</v>
      </c>
      <c r="AE194" s="862">
        <f t="shared" si="279"/>
        <v>0.44</v>
      </c>
      <c r="AF194" s="859">
        <f t="shared" si="280"/>
        <v>267.392</v>
      </c>
      <c r="AG194" s="859"/>
      <c r="AH194" s="859">
        <f t="shared" si="281"/>
        <v>203.04</v>
      </c>
      <c r="AI194" s="859">
        <f t="shared" si="267"/>
        <v>0</v>
      </c>
      <c r="AJ194" s="859">
        <f t="shared" si="268"/>
        <v>0</v>
      </c>
      <c r="AK194" s="863">
        <f t="shared" si="269"/>
        <v>2.2261666666666664</v>
      </c>
      <c r="AL194" s="863"/>
      <c r="AM194" s="863">
        <f t="shared" si="270"/>
        <v>0.61666666666666659</v>
      </c>
      <c r="AN194" s="863">
        <f t="shared" si="270"/>
        <v>0</v>
      </c>
      <c r="AO194" s="863">
        <f t="shared" si="270"/>
        <v>0</v>
      </c>
      <c r="AP194" s="859">
        <f>AF194*AK194</f>
        <v>595.25915733333329</v>
      </c>
      <c r="AQ194" s="859"/>
      <c r="AR194" s="859">
        <f>AH194*AM194</f>
        <v>125.20799999999998</v>
      </c>
      <c r="AS194" s="859">
        <f t="shared" si="283"/>
        <v>0</v>
      </c>
      <c r="AT194" s="859">
        <f t="shared" si="271"/>
        <v>0</v>
      </c>
      <c r="AU194" s="861">
        <f t="shared" si="272"/>
        <v>250.16220740740738</v>
      </c>
    </row>
    <row r="195" spans="1:47" ht="15.75" thickBot="1">
      <c r="A195" s="858">
        <v>4</v>
      </c>
      <c r="B195" s="858" t="s">
        <v>1024</v>
      </c>
      <c r="C195" s="858">
        <v>2</v>
      </c>
      <c r="D195" s="859">
        <v>0.8</v>
      </c>
      <c r="E195" s="859">
        <f>D195</f>
        <v>0.8</v>
      </c>
      <c r="F195" s="859">
        <v>3</v>
      </c>
      <c r="G195" s="858">
        <v>0.12</v>
      </c>
      <c r="H195" s="859">
        <f t="shared" si="273"/>
        <v>2.88</v>
      </c>
      <c r="I195" s="859">
        <f t="shared" si="274"/>
        <v>3.6863999999999999</v>
      </c>
      <c r="J195" s="859">
        <f t="shared" si="275"/>
        <v>18.431999999999999</v>
      </c>
      <c r="K195" s="792"/>
      <c r="L195" s="858">
        <v>25</v>
      </c>
      <c r="M195" s="858"/>
      <c r="N195" s="858">
        <v>10</v>
      </c>
      <c r="O195" s="858"/>
      <c r="P195" s="858"/>
      <c r="Q195" s="858">
        <v>0.1</v>
      </c>
      <c r="R195" s="858">
        <v>0.15</v>
      </c>
      <c r="S195" s="858">
        <v>0.1</v>
      </c>
      <c r="T195" s="858">
        <v>16</v>
      </c>
      <c r="U195" s="858"/>
      <c r="V195" s="861">
        <f t="shared" si="264"/>
        <v>8.1999999999999993</v>
      </c>
      <c r="W195" s="861">
        <f t="shared" si="265"/>
        <v>10.6</v>
      </c>
      <c r="X195" s="861">
        <f t="shared" si="266"/>
        <v>8.1999999999999993</v>
      </c>
      <c r="Y195" s="861"/>
      <c r="Z195" s="861"/>
      <c r="AA195" s="859">
        <f t="shared" si="276"/>
        <v>4.55</v>
      </c>
      <c r="AB195" s="859"/>
      <c r="AC195" s="858">
        <f t="shared" si="277"/>
        <v>3.08</v>
      </c>
      <c r="AD195" s="862">
        <f t="shared" si="278"/>
        <v>0.74</v>
      </c>
      <c r="AE195" s="862">
        <f t="shared" si="279"/>
        <v>0.74</v>
      </c>
      <c r="AF195" s="859">
        <f t="shared" si="280"/>
        <v>145.6</v>
      </c>
      <c r="AG195" s="859"/>
      <c r="AH195" s="859">
        <f t="shared" si="281"/>
        <v>166.32</v>
      </c>
      <c r="AI195" s="859">
        <f t="shared" si="267"/>
        <v>0</v>
      </c>
      <c r="AJ195" s="859">
        <f t="shared" si="268"/>
        <v>0</v>
      </c>
      <c r="AK195" s="863">
        <f t="shared" si="269"/>
        <v>3.8541666666666665</v>
      </c>
      <c r="AL195" s="863"/>
      <c r="AM195" s="863">
        <f t="shared" si="270"/>
        <v>0.61666666666666659</v>
      </c>
      <c r="AN195" s="863">
        <f t="shared" si="270"/>
        <v>0</v>
      </c>
      <c r="AO195" s="863">
        <f t="shared" si="270"/>
        <v>0</v>
      </c>
      <c r="AP195" s="859">
        <f>AF195*AK195</f>
        <v>561.16666666666663</v>
      </c>
      <c r="AQ195" s="859"/>
      <c r="AR195" s="859">
        <f>AH195*AM195</f>
        <v>102.56399999999998</v>
      </c>
      <c r="AS195" s="859">
        <f t="shared" si="283"/>
        <v>0</v>
      </c>
      <c r="AT195" s="859">
        <f t="shared" si="271"/>
        <v>0</v>
      </c>
      <c r="AU195" s="861">
        <f t="shared" si="272"/>
        <v>180.04846643518516</v>
      </c>
    </row>
    <row r="196" spans="1:47" ht="15.75" thickBot="1">
      <c r="A196" s="792"/>
      <c r="B196" s="792"/>
      <c r="C196" s="792"/>
      <c r="D196" s="794"/>
      <c r="E196" s="794"/>
      <c r="F196" s="794"/>
      <c r="G196" s="792"/>
      <c r="H196" s="792"/>
      <c r="I196" s="794"/>
      <c r="J196" s="794"/>
      <c r="K196" s="792"/>
      <c r="L196" s="858"/>
      <c r="M196" s="858"/>
      <c r="N196" s="858"/>
      <c r="O196" s="858"/>
      <c r="P196" s="858"/>
      <c r="Q196" s="858"/>
      <c r="R196" s="858"/>
      <c r="S196" s="858"/>
      <c r="T196" s="858"/>
      <c r="U196" s="858"/>
      <c r="V196" s="861"/>
      <c r="W196" s="861"/>
      <c r="X196" s="861"/>
      <c r="Y196" s="861"/>
      <c r="Z196" s="861"/>
      <c r="AA196" s="859"/>
      <c r="AB196" s="859"/>
      <c r="AC196" s="858"/>
      <c r="AD196" s="862"/>
      <c r="AE196" s="862"/>
      <c r="AF196" s="859"/>
      <c r="AG196" s="859"/>
      <c r="AH196" s="859"/>
      <c r="AI196" s="859"/>
      <c r="AJ196" s="859"/>
      <c r="AK196" s="863"/>
      <c r="AL196" s="863"/>
      <c r="AM196" s="863"/>
      <c r="AN196" s="863"/>
      <c r="AO196" s="863"/>
      <c r="AP196" s="859"/>
      <c r="AQ196" s="859"/>
      <c r="AR196" s="859"/>
      <c r="AS196" s="859"/>
      <c r="AT196" s="859"/>
      <c r="AU196" s="861"/>
    </row>
    <row r="197" spans="1:47">
      <c r="A197" s="796" t="s">
        <v>66</v>
      </c>
      <c r="B197" s="797" t="s">
        <v>983</v>
      </c>
      <c r="C197" s="797"/>
      <c r="D197" s="798" t="s">
        <v>984</v>
      </c>
      <c r="E197" s="798"/>
      <c r="F197" s="798"/>
      <c r="G197" s="799" t="s">
        <v>985</v>
      </c>
      <c r="H197" s="799" t="s">
        <v>986</v>
      </c>
      <c r="I197" s="798" t="s">
        <v>392</v>
      </c>
      <c r="J197" s="800" t="s">
        <v>377</v>
      </c>
      <c r="K197" s="792"/>
      <c r="L197" s="801" t="s">
        <v>987</v>
      </c>
      <c r="M197" s="802"/>
      <c r="N197" s="803" t="s">
        <v>988</v>
      </c>
      <c r="O197" s="803"/>
      <c r="P197" s="803"/>
      <c r="Q197" s="803" t="s">
        <v>989</v>
      </c>
      <c r="R197" s="803"/>
      <c r="S197" s="803"/>
      <c r="T197" s="804"/>
      <c r="U197" s="805"/>
      <c r="V197" s="806" t="s">
        <v>990</v>
      </c>
      <c r="W197" s="806"/>
      <c r="X197" s="806"/>
      <c r="Y197" s="806"/>
      <c r="Z197" s="806"/>
      <c r="AA197" s="807" t="s">
        <v>991</v>
      </c>
      <c r="AB197" s="808"/>
      <c r="AC197" s="809" t="s">
        <v>1030</v>
      </c>
      <c r="AD197" s="809"/>
      <c r="AE197" s="809"/>
      <c r="AF197" s="810" t="s">
        <v>993</v>
      </c>
      <c r="AG197" s="811"/>
      <c r="AH197" s="798" t="s">
        <v>994</v>
      </c>
      <c r="AI197" s="798"/>
      <c r="AJ197" s="798"/>
      <c r="AK197" s="812" t="s">
        <v>995</v>
      </c>
      <c r="AL197" s="813"/>
      <c r="AM197" s="814" t="s">
        <v>996</v>
      </c>
      <c r="AN197" s="814"/>
      <c r="AO197" s="814"/>
      <c r="AP197" s="798" t="s">
        <v>997</v>
      </c>
      <c r="AQ197" s="798"/>
      <c r="AR197" s="798"/>
      <c r="AS197" s="798"/>
      <c r="AT197" s="798"/>
      <c r="AU197" s="815" t="s">
        <v>998</v>
      </c>
    </row>
    <row r="198" spans="1:47" ht="15.75" thickBot="1">
      <c r="A198" s="816"/>
      <c r="B198" s="817" t="s">
        <v>372</v>
      </c>
      <c r="C198" s="817" t="s">
        <v>372</v>
      </c>
      <c r="D198" s="818" t="s">
        <v>999</v>
      </c>
      <c r="E198" s="818" t="s">
        <v>1000</v>
      </c>
      <c r="F198" s="818" t="s">
        <v>1001</v>
      </c>
      <c r="G198" s="819" t="s">
        <v>1002</v>
      </c>
      <c r="H198" s="819" t="s">
        <v>1003</v>
      </c>
      <c r="I198" s="818"/>
      <c r="J198" s="820"/>
      <c r="K198" s="792"/>
      <c r="L198" s="821" t="s">
        <v>1006</v>
      </c>
      <c r="M198" s="822"/>
      <c r="N198" s="819" t="s">
        <v>1004</v>
      </c>
      <c r="O198" s="819" t="s">
        <v>1005</v>
      </c>
      <c r="P198" s="819"/>
      <c r="Q198" s="819" t="s">
        <v>1001</v>
      </c>
      <c r="R198" s="819" t="s">
        <v>1000</v>
      </c>
      <c r="S198" s="819" t="s">
        <v>1001</v>
      </c>
      <c r="T198" s="823" t="s">
        <v>1006</v>
      </c>
      <c r="U198" s="824"/>
      <c r="V198" s="825" t="s">
        <v>1007</v>
      </c>
      <c r="W198" s="825"/>
      <c r="X198" s="825"/>
      <c r="Y198" s="825" t="s">
        <v>1005</v>
      </c>
      <c r="Z198" s="825"/>
      <c r="AA198" s="826" t="s">
        <v>1008</v>
      </c>
      <c r="AB198" s="827"/>
      <c r="AC198" s="819" t="s">
        <v>1004</v>
      </c>
      <c r="AD198" s="828" t="s">
        <v>1005</v>
      </c>
      <c r="AE198" s="828"/>
      <c r="AF198" s="829" t="s">
        <v>1006</v>
      </c>
      <c r="AG198" s="830"/>
      <c r="AH198" s="818" t="s">
        <v>1004</v>
      </c>
      <c r="AI198" s="818" t="s">
        <v>1005</v>
      </c>
      <c r="AJ198" s="818"/>
      <c r="AK198" s="831" t="s">
        <v>1009</v>
      </c>
      <c r="AL198" s="832"/>
      <c r="AM198" s="833"/>
      <c r="AN198" s="833"/>
      <c r="AO198" s="833"/>
      <c r="AP198" s="818" t="s">
        <v>1006</v>
      </c>
      <c r="AQ198" s="818"/>
      <c r="AR198" s="818" t="s">
        <v>1010</v>
      </c>
      <c r="AS198" s="818"/>
      <c r="AT198" s="818"/>
      <c r="AU198" s="834" t="s">
        <v>1011</v>
      </c>
    </row>
    <row r="199" spans="1:47" ht="15.75" thickTop="1">
      <c r="A199" s="816"/>
      <c r="B199" s="817"/>
      <c r="C199" s="817"/>
      <c r="D199" s="818"/>
      <c r="E199" s="818"/>
      <c r="F199" s="818"/>
      <c r="G199" s="819"/>
      <c r="H199" s="819"/>
      <c r="I199" s="818"/>
      <c r="J199" s="820"/>
      <c r="K199" s="792"/>
      <c r="L199" s="835"/>
      <c r="M199" s="836"/>
      <c r="N199" s="819"/>
      <c r="O199" s="837" t="s">
        <v>494</v>
      </c>
      <c r="P199" s="837" t="s">
        <v>1012</v>
      </c>
      <c r="Q199" s="819"/>
      <c r="R199" s="819"/>
      <c r="S199" s="819"/>
      <c r="T199" s="838"/>
      <c r="U199" s="839"/>
      <c r="V199" s="840" t="s">
        <v>1001</v>
      </c>
      <c r="W199" s="840" t="s">
        <v>1000</v>
      </c>
      <c r="X199" s="840" t="s">
        <v>1001</v>
      </c>
      <c r="Y199" s="840" t="s">
        <v>494</v>
      </c>
      <c r="Z199" s="840" t="s">
        <v>1012</v>
      </c>
      <c r="AA199" s="841" t="s">
        <v>1013</v>
      </c>
      <c r="AB199" s="842"/>
      <c r="AC199" s="819"/>
      <c r="AD199" s="843" t="s">
        <v>494</v>
      </c>
      <c r="AE199" s="843" t="s">
        <v>1012</v>
      </c>
      <c r="AF199" s="844"/>
      <c r="AG199" s="842"/>
      <c r="AH199" s="818"/>
      <c r="AI199" s="845" t="s">
        <v>494</v>
      </c>
      <c r="AJ199" s="845" t="s">
        <v>1012</v>
      </c>
      <c r="AK199" s="846" t="s">
        <v>1013</v>
      </c>
      <c r="AL199" s="847"/>
      <c r="AM199" s="833"/>
      <c r="AN199" s="833"/>
      <c r="AO199" s="833"/>
      <c r="AP199" s="818"/>
      <c r="AQ199" s="818"/>
      <c r="AR199" s="818"/>
      <c r="AS199" s="818"/>
      <c r="AT199" s="818"/>
      <c r="AU199" s="834"/>
    </row>
    <row r="200" spans="1:47" ht="15.75" thickBot="1">
      <c r="A200" s="848"/>
      <c r="B200" s="817"/>
      <c r="C200" s="817"/>
      <c r="D200" s="849" t="s">
        <v>151</v>
      </c>
      <c r="E200" s="849"/>
      <c r="F200" s="849"/>
      <c r="G200" s="849"/>
      <c r="H200" s="849"/>
      <c r="I200" s="850" t="s">
        <v>1014</v>
      </c>
      <c r="J200" s="851" t="s">
        <v>1015</v>
      </c>
      <c r="K200" s="792"/>
      <c r="L200" s="848" t="s">
        <v>1016</v>
      </c>
      <c r="M200" s="852"/>
      <c r="N200" s="852" t="s">
        <v>1016</v>
      </c>
      <c r="O200" s="852"/>
      <c r="P200" s="852"/>
      <c r="Q200" s="852" t="s">
        <v>151</v>
      </c>
      <c r="R200" s="852"/>
      <c r="S200" s="852"/>
      <c r="T200" s="823" t="s">
        <v>34</v>
      </c>
      <c r="U200" s="853"/>
      <c r="V200" s="854" t="s">
        <v>34</v>
      </c>
      <c r="W200" s="854"/>
      <c r="X200" s="854"/>
      <c r="Y200" s="854"/>
      <c r="Z200" s="854"/>
      <c r="AA200" s="849" t="s">
        <v>151</v>
      </c>
      <c r="AB200" s="849"/>
      <c r="AC200" s="852" t="s">
        <v>151</v>
      </c>
      <c r="AD200" s="852"/>
      <c r="AE200" s="852"/>
      <c r="AF200" s="849" t="s">
        <v>151</v>
      </c>
      <c r="AG200" s="849"/>
      <c r="AH200" s="849" t="s">
        <v>151</v>
      </c>
      <c r="AI200" s="849"/>
      <c r="AJ200" s="849"/>
      <c r="AK200" s="855" t="s">
        <v>1017</v>
      </c>
      <c r="AL200" s="855"/>
      <c r="AM200" s="855"/>
      <c r="AN200" s="855"/>
      <c r="AO200" s="855"/>
      <c r="AP200" s="849" t="s">
        <v>7</v>
      </c>
      <c r="AQ200" s="849"/>
      <c r="AR200" s="849"/>
      <c r="AS200" s="849"/>
      <c r="AT200" s="849"/>
      <c r="AU200" s="856"/>
    </row>
    <row r="201" spans="1:47" ht="15.75" thickBot="1">
      <c r="A201" s="857" t="s">
        <v>1046</v>
      </c>
      <c r="B201" s="858"/>
      <c r="C201" s="858"/>
      <c r="D201" s="859"/>
      <c r="E201" s="859"/>
      <c r="F201" s="859"/>
      <c r="G201" s="858"/>
      <c r="H201" s="859"/>
      <c r="I201" s="859"/>
      <c r="J201" s="859"/>
      <c r="K201" s="792"/>
      <c r="L201" s="860" t="str">
        <f>A201</f>
        <v>Kolom Lantai 16</v>
      </c>
      <c r="M201" s="858"/>
      <c r="N201" s="858"/>
      <c r="O201" s="858"/>
      <c r="P201" s="858"/>
      <c r="Q201" s="858"/>
      <c r="R201" s="858"/>
      <c r="S201" s="858"/>
      <c r="T201" s="858"/>
      <c r="U201" s="858"/>
      <c r="V201" s="861"/>
      <c r="W201" s="861"/>
      <c r="X201" s="861"/>
      <c r="Y201" s="861"/>
      <c r="Z201" s="861"/>
      <c r="AA201" s="859"/>
      <c r="AB201" s="859"/>
      <c r="AC201" s="858"/>
      <c r="AD201" s="862"/>
      <c r="AE201" s="862"/>
      <c r="AF201" s="859"/>
      <c r="AG201" s="859"/>
      <c r="AH201" s="859"/>
      <c r="AI201" s="859"/>
      <c r="AJ201" s="859"/>
      <c r="AK201" s="863"/>
      <c r="AL201" s="863"/>
      <c r="AM201" s="863"/>
      <c r="AN201" s="863"/>
      <c r="AO201" s="863"/>
      <c r="AP201" s="859"/>
      <c r="AQ201" s="859"/>
      <c r="AR201" s="859"/>
      <c r="AS201" s="859"/>
      <c r="AT201" s="859"/>
      <c r="AU201" s="861"/>
    </row>
    <row r="202" spans="1:47" ht="15.75" thickBot="1">
      <c r="A202" s="858">
        <v>1</v>
      </c>
      <c r="B202" s="858" t="s">
        <v>1019</v>
      </c>
      <c r="C202" s="858">
        <v>17</v>
      </c>
      <c r="D202" s="859">
        <v>0.5</v>
      </c>
      <c r="E202" s="859">
        <f>D202</f>
        <v>0.5</v>
      </c>
      <c r="F202" s="859">
        <v>3</v>
      </c>
      <c r="G202" s="858">
        <v>0.12</v>
      </c>
      <c r="H202" s="859">
        <f>F202-G202</f>
        <v>2.88</v>
      </c>
      <c r="I202" s="859">
        <f>H202*E202*D202*C202</f>
        <v>12.24</v>
      </c>
      <c r="J202" s="859">
        <f>(D202+D202+E202+E202)*H202*C202</f>
        <v>97.92</v>
      </c>
      <c r="K202" s="792"/>
      <c r="L202" s="858">
        <v>16</v>
      </c>
      <c r="M202" s="858"/>
      <c r="N202" s="858">
        <v>10</v>
      </c>
      <c r="O202" s="858"/>
      <c r="P202" s="858"/>
      <c r="Q202" s="858">
        <v>0.1</v>
      </c>
      <c r="R202" s="858">
        <v>0.15</v>
      </c>
      <c r="S202" s="858">
        <v>0.1</v>
      </c>
      <c r="T202" s="858">
        <v>16</v>
      </c>
      <c r="U202" s="858"/>
      <c r="V202" s="861">
        <f t="shared" ref="V202:V205" si="284">(H202/4)/Q202+1</f>
        <v>8.1999999999999993</v>
      </c>
      <c r="W202" s="861">
        <f t="shared" ref="W202:W205" si="285">(H202/2)/R202+1</f>
        <v>10.6</v>
      </c>
      <c r="X202" s="861">
        <f t="shared" ref="X202:X205" si="286">(H202/4)/S202+1</f>
        <v>8.1999999999999993</v>
      </c>
      <c r="Y202" s="861">
        <v>1</v>
      </c>
      <c r="Z202" s="861">
        <v>2</v>
      </c>
      <c r="AA202" s="859">
        <f>(H202)+(2*6*L202/1000)+(50*L202/1000)+(0.12)</f>
        <v>3.992</v>
      </c>
      <c r="AB202" s="859"/>
      <c r="AC202" s="858">
        <f>(2*D202)+(2*E202)+(2*6*N202/1000)-(8*0.03)</f>
        <v>1.8800000000000001</v>
      </c>
      <c r="AD202" s="862">
        <f>(E202)+(2*6*O202/1000)-(2*0.03)</f>
        <v>0.44</v>
      </c>
      <c r="AE202" s="862">
        <f>(D202)+(2*6*P202/1000)-(2*0.03)</f>
        <v>0.44</v>
      </c>
      <c r="AF202" s="859">
        <f>AA202*T202*C202</f>
        <v>1085.8240000000001</v>
      </c>
      <c r="AG202" s="859"/>
      <c r="AH202" s="859">
        <f>AC202*(V202+W202+X202)*C202</f>
        <v>862.92</v>
      </c>
      <c r="AI202" s="859">
        <f t="shared" ref="AI202:AI205" si="287">(AD202*Y202*(V202+W202+X202)*C202)</f>
        <v>201.95999999999998</v>
      </c>
      <c r="AJ202" s="859">
        <f t="shared" ref="AJ202:AJ205" si="288">(AE202*Z202*(V202+W202+X202)*C202)</f>
        <v>403.91999999999996</v>
      </c>
      <c r="AK202" s="863">
        <f t="shared" ref="AK202:AK205" si="289">L202*L202*0.074/12</f>
        <v>1.5786666666666667</v>
      </c>
      <c r="AL202" s="863"/>
      <c r="AM202" s="863">
        <f t="shared" ref="AM202:AO205" si="290">N202*N202*0.074/12</f>
        <v>0.61666666666666659</v>
      </c>
      <c r="AN202" s="863">
        <f t="shared" si="290"/>
        <v>0</v>
      </c>
      <c r="AO202" s="863">
        <f t="shared" si="290"/>
        <v>0</v>
      </c>
      <c r="AP202" s="859">
        <f>AF202*AK202</f>
        <v>1714.1541546666667</v>
      </c>
      <c r="AQ202" s="859"/>
      <c r="AR202" s="859">
        <f>AH202*AM202</f>
        <v>532.1339999999999</v>
      </c>
      <c r="AS202" s="859">
        <f>AI202*AN202</f>
        <v>0</v>
      </c>
      <c r="AT202" s="859">
        <f t="shared" ref="AT202:AT205" si="291">AJ202*AO202</f>
        <v>0</v>
      </c>
      <c r="AU202" s="861">
        <f t="shared" ref="AU202:AU205" si="292">SUM(AP202:AT202)/I202</f>
        <v>183.52027407407408</v>
      </c>
    </row>
    <row r="203" spans="1:47" ht="15.75" thickBot="1">
      <c r="A203" s="858">
        <v>2</v>
      </c>
      <c r="B203" s="858" t="s">
        <v>1020</v>
      </c>
      <c r="C203" s="858">
        <v>4</v>
      </c>
      <c r="D203" s="859">
        <v>0.6</v>
      </c>
      <c r="E203" s="859">
        <f>D203</f>
        <v>0.6</v>
      </c>
      <c r="F203" s="859">
        <v>3</v>
      </c>
      <c r="G203" s="858">
        <v>0.12</v>
      </c>
      <c r="H203" s="859">
        <f t="shared" ref="H203:H205" si="293">F203-G203</f>
        <v>2.88</v>
      </c>
      <c r="I203" s="859">
        <f t="shared" ref="I203:I205" si="294">H203*E203*D203*C203</f>
        <v>4.1471999999999998</v>
      </c>
      <c r="J203" s="859">
        <f t="shared" ref="J203:J205" si="295">(D203+D203+E203+E203)*H203*C203</f>
        <v>27.648</v>
      </c>
      <c r="K203" s="792"/>
      <c r="L203" s="858">
        <v>16</v>
      </c>
      <c r="M203" s="858"/>
      <c r="N203" s="858">
        <v>10</v>
      </c>
      <c r="O203" s="858"/>
      <c r="P203" s="858"/>
      <c r="Q203" s="858">
        <v>0.1</v>
      </c>
      <c r="R203" s="858">
        <v>0.15</v>
      </c>
      <c r="S203" s="858">
        <v>0.1</v>
      </c>
      <c r="T203" s="858">
        <v>16</v>
      </c>
      <c r="U203" s="858"/>
      <c r="V203" s="861">
        <f t="shared" si="284"/>
        <v>8.1999999999999993</v>
      </c>
      <c r="W203" s="861">
        <f t="shared" si="285"/>
        <v>10.6</v>
      </c>
      <c r="X203" s="861">
        <f t="shared" si="286"/>
        <v>8.1999999999999993</v>
      </c>
      <c r="Y203" s="861">
        <v>1</v>
      </c>
      <c r="Z203" s="861">
        <v>2</v>
      </c>
      <c r="AA203" s="859">
        <f t="shared" ref="AA203:AA205" si="296">(H203)+(2*6*L203/1000)+(50*L203/1000)+(0.12)</f>
        <v>3.992</v>
      </c>
      <c r="AB203" s="859"/>
      <c r="AC203" s="858">
        <f t="shared" ref="AC203:AC205" si="297">(2*D203)+(2*E203)+(2*6*N203/1000)-(8*0.03)</f>
        <v>2.2800000000000002</v>
      </c>
      <c r="AD203" s="862">
        <f t="shared" ref="AD203:AD205" si="298">(E203)+(2*6*O203/1000)-(2*0.03)</f>
        <v>0.54</v>
      </c>
      <c r="AE203" s="862">
        <f t="shared" ref="AE203:AE205" si="299">(D203)+(2*6*P203/1000)-(2*0.03)</f>
        <v>0.54</v>
      </c>
      <c r="AF203" s="859">
        <f t="shared" ref="AF203:AF205" si="300">AA203*T203*C203</f>
        <v>255.488</v>
      </c>
      <c r="AG203" s="859"/>
      <c r="AH203" s="859">
        <f t="shared" ref="AH203:AH205" si="301">AC203*(V203+W203+X203)*C203</f>
        <v>246.23999999999998</v>
      </c>
      <c r="AI203" s="859">
        <f t="shared" si="287"/>
        <v>58.319999999999993</v>
      </c>
      <c r="AJ203" s="859">
        <f t="shared" si="288"/>
        <v>116.63999999999999</v>
      </c>
      <c r="AK203" s="863">
        <f t="shared" si="289"/>
        <v>1.5786666666666667</v>
      </c>
      <c r="AL203" s="863"/>
      <c r="AM203" s="863">
        <f t="shared" si="290"/>
        <v>0.61666666666666659</v>
      </c>
      <c r="AN203" s="863">
        <f t="shared" si="290"/>
        <v>0</v>
      </c>
      <c r="AO203" s="863">
        <f t="shared" si="290"/>
        <v>0</v>
      </c>
      <c r="AP203" s="859">
        <f t="shared" ref="AP203" si="302">AF203*AK203</f>
        <v>403.33038933333336</v>
      </c>
      <c r="AQ203" s="859"/>
      <c r="AR203" s="859">
        <f t="shared" ref="AR203:AS205" si="303">AH203*AM203</f>
        <v>151.84799999999996</v>
      </c>
      <c r="AS203" s="859">
        <f t="shared" si="303"/>
        <v>0</v>
      </c>
      <c r="AT203" s="859">
        <f t="shared" si="291"/>
        <v>0</v>
      </c>
      <c r="AU203" s="861">
        <f t="shared" si="292"/>
        <v>133.86824588477367</v>
      </c>
    </row>
    <row r="204" spans="1:47" ht="15.75" thickBot="1">
      <c r="A204" s="858">
        <v>3</v>
      </c>
      <c r="B204" s="858" t="s">
        <v>1023</v>
      </c>
      <c r="C204" s="858">
        <v>4</v>
      </c>
      <c r="D204" s="859">
        <v>0.5</v>
      </c>
      <c r="E204" s="859">
        <f>D204</f>
        <v>0.5</v>
      </c>
      <c r="F204" s="859">
        <v>3</v>
      </c>
      <c r="G204" s="858">
        <v>0.12</v>
      </c>
      <c r="H204" s="859">
        <f t="shared" si="293"/>
        <v>2.88</v>
      </c>
      <c r="I204" s="859">
        <f t="shared" si="294"/>
        <v>2.88</v>
      </c>
      <c r="J204" s="859">
        <f t="shared" si="295"/>
        <v>23.04</v>
      </c>
      <c r="K204" s="792"/>
      <c r="L204" s="858">
        <v>19</v>
      </c>
      <c r="M204" s="858"/>
      <c r="N204" s="858">
        <v>10</v>
      </c>
      <c r="O204" s="858"/>
      <c r="P204" s="858"/>
      <c r="Q204" s="858">
        <v>0.1</v>
      </c>
      <c r="R204" s="858">
        <v>0.15</v>
      </c>
      <c r="S204" s="858">
        <v>0.1</v>
      </c>
      <c r="T204" s="858">
        <v>16</v>
      </c>
      <c r="U204" s="858"/>
      <c r="V204" s="861">
        <f t="shared" si="284"/>
        <v>8.1999999999999993</v>
      </c>
      <c r="W204" s="861">
        <f t="shared" si="285"/>
        <v>10.6</v>
      </c>
      <c r="X204" s="861">
        <f t="shared" si="286"/>
        <v>8.1999999999999993</v>
      </c>
      <c r="Y204" s="861">
        <v>1</v>
      </c>
      <c r="Z204" s="861">
        <v>2</v>
      </c>
      <c r="AA204" s="859">
        <f t="shared" si="296"/>
        <v>4.1779999999999999</v>
      </c>
      <c r="AB204" s="859"/>
      <c r="AC204" s="858">
        <f t="shared" si="297"/>
        <v>1.8800000000000001</v>
      </c>
      <c r="AD204" s="862">
        <f t="shared" si="298"/>
        <v>0.44</v>
      </c>
      <c r="AE204" s="862">
        <f t="shared" si="299"/>
        <v>0.44</v>
      </c>
      <c r="AF204" s="859">
        <f t="shared" si="300"/>
        <v>267.392</v>
      </c>
      <c r="AG204" s="859"/>
      <c r="AH204" s="859">
        <f t="shared" si="301"/>
        <v>203.04</v>
      </c>
      <c r="AI204" s="859">
        <f t="shared" si="287"/>
        <v>47.519999999999996</v>
      </c>
      <c r="AJ204" s="859">
        <f t="shared" si="288"/>
        <v>95.039999999999992</v>
      </c>
      <c r="AK204" s="863">
        <f t="shared" si="289"/>
        <v>2.2261666666666664</v>
      </c>
      <c r="AL204" s="863"/>
      <c r="AM204" s="863">
        <f t="shared" si="290"/>
        <v>0.61666666666666659</v>
      </c>
      <c r="AN204" s="863">
        <f t="shared" si="290"/>
        <v>0</v>
      </c>
      <c r="AO204" s="863">
        <f t="shared" si="290"/>
        <v>0</v>
      </c>
      <c r="AP204" s="859">
        <f>AF204*AK204</f>
        <v>595.25915733333329</v>
      </c>
      <c r="AQ204" s="859"/>
      <c r="AR204" s="859">
        <f>AH204*AM204</f>
        <v>125.20799999999998</v>
      </c>
      <c r="AS204" s="859">
        <f t="shared" si="303"/>
        <v>0</v>
      </c>
      <c r="AT204" s="859">
        <f t="shared" si="291"/>
        <v>0</v>
      </c>
      <c r="AU204" s="861">
        <f t="shared" si="292"/>
        <v>250.16220740740738</v>
      </c>
    </row>
    <row r="205" spans="1:47" ht="15.75" thickBot="1">
      <c r="A205" s="858">
        <v>4</v>
      </c>
      <c r="B205" s="858" t="s">
        <v>1024</v>
      </c>
      <c r="C205" s="858">
        <v>2</v>
      </c>
      <c r="D205" s="859">
        <v>0.7</v>
      </c>
      <c r="E205" s="859">
        <f>D205</f>
        <v>0.7</v>
      </c>
      <c r="F205" s="859">
        <v>3</v>
      </c>
      <c r="G205" s="858">
        <v>0.12</v>
      </c>
      <c r="H205" s="859">
        <f t="shared" si="293"/>
        <v>2.88</v>
      </c>
      <c r="I205" s="859">
        <f t="shared" si="294"/>
        <v>2.8224</v>
      </c>
      <c r="J205" s="859">
        <f t="shared" si="295"/>
        <v>16.128</v>
      </c>
      <c r="K205" s="792"/>
      <c r="L205" s="858">
        <v>19</v>
      </c>
      <c r="M205" s="858"/>
      <c r="N205" s="858">
        <v>10</v>
      </c>
      <c r="O205" s="858"/>
      <c r="P205" s="858"/>
      <c r="Q205" s="858">
        <v>0.1</v>
      </c>
      <c r="R205" s="858">
        <v>0.15</v>
      </c>
      <c r="S205" s="858">
        <v>0.1</v>
      </c>
      <c r="T205" s="858">
        <v>16</v>
      </c>
      <c r="U205" s="858"/>
      <c r="V205" s="861">
        <f t="shared" si="284"/>
        <v>8.1999999999999993</v>
      </c>
      <c r="W205" s="861">
        <f t="shared" si="285"/>
        <v>10.6</v>
      </c>
      <c r="X205" s="861">
        <f t="shared" si="286"/>
        <v>8.1999999999999993</v>
      </c>
      <c r="Y205" s="861">
        <v>1</v>
      </c>
      <c r="Z205" s="861">
        <v>2</v>
      </c>
      <c r="AA205" s="859">
        <f t="shared" si="296"/>
        <v>4.1779999999999999</v>
      </c>
      <c r="AB205" s="859"/>
      <c r="AC205" s="858">
        <f t="shared" si="297"/>
        <v>2.6799999999999997</v>
      </c>
      <c r="AD205" s="862">
        <f t="shared" si="298"/>
        <v>0.6399999999999999</v>
      </c>
      <c r="AE205" s="862">
        <f t="shared" si="299"/>
        <v>0.6399999999999999</v>
      </c>
      <c r="AF205" s="859">
        <f t="shared" si="300"/>
        <v>133.696</v>
      </c>
      <c r="AG205" s="859"/>
      <c r="AH205" s="859">
        <f t="shared" si="301"/>
        <v>144.71999999999997</v>
      </c>
      <c r="AI205" s="859">
        <f t="shared" si="287"/>
        <v>34.559999999999988</v>
      </c>
      <c r="AJ205" s="859">
        <f t="shared" si="288"/>
        <v>69.119999999999976</v>
      </c>
      <c r="AK205" s="863">
        <f t="shared" si="289"/>
        <v>2.2261666666666664</v>
      </c>
      <c r="AL205" s="863"/>
      <c r="AM205" s="863">
        <f t="shared" si="290"/>
        <v>0.61666666666666659</v>
      </c>
      <c r="AN205" s="863">
        <f t="shared" si="290"/>
        <v>0</v>
      </c>
      <c r="AO205" s="863">
        <f t="shared" si="290"/>
        <v>0</v>
      </c>
      <c r="AP205" s="859">
        <f>AF205*AK205</f>
        <v>297.62957866666665</v>
      </c>
      <c r="AQ205" s="859"/>
      <c r="AR205" s="859">
        <f>AH205*AM205</f>
        <v>89.243999999999971</v>
      </c>
      <c r="AS205" s="859">
        <f t="shared" si="303"/>
        <v>0</v>
      </c>
      <c r="AT205" s="859">
        <f t="shared" si="291"/>
        <v>0</v>
      </c>
      <c r="AU205" s="861">
        <f t="shared" si="292"/>
        <v>137.07255479969763</v>
      </c>
    </row>
    <row r="206" spans="1:47" ht="15.75" thickBot="1">
      <c r="A206" s="792"/>
      <c r="B206" s="792"/>
      <c r="C206" s="792"/>
      <c r="D206" s="794"/>
      <c r="E206" s="794"/>
      <c r="F206" s="794"/>
      <c r="G206" s="792"/>
      <c r="H206" s="792"/>
      <c r="I206" s="794"/>
      <c r="J206" s="794"/>
      <c r="K206" s="792"/>
      <c r="L206" s="858"/>
      <c r="M206" s="858"/>
      <c r="N206" s="858"/>
      <c r="O206" s="858"/>
      <c r="P206" s="858"/>
      <c r="Q206" s="858"/>
      <c r="R206" s="858"/>
      <c r="S206" s="858"/>
      <c r="T206" s="858"/>
      <c r="U206" s="858"/>
      <c r="V206" s="861"/>
      <c r="W206" s="861"/>
      <c r="X206" s="861"/>
      <c r="Y206" s="861"/>
      <c r="Z206" s="861"/>
      <c r="AA206" s="859"/>
      <c r="AB206" s="859"/>
      <c r="AC206" s="858"/>
      <c r="AD206" s="862"/>
      <c r="AE206" s="862"/>
      <c r="AF206" s="859"/>
      <c r="AG206" s="859"/>
      <c r="AH206" s="859"/>
      <c r="AI206" s="859"/>
      <c r="AJ206" s="859"/>
      <c r="AK206" s="863"/>
      <c r="AL206" s="863"/>
      <c r="AM206" s="863"/>
      <c r="AN206" s="863"/>
      <c r="AO206" s="863"/>
      <c r="AP206" s="859"/>
      <c r="AQ206" s="859"/>
      <c r="AR206" s="859"/>
      <c r="AS206" s="859"/>
      <c r="AT206" s="859"/>
      <c r="AU206" s="861"/>
    </row>
    <row r="207" spans="1:47">
      <c r="A207" s="796" t="s">
        <v>66</v>
      </c>
      <c r="B207" s="797" t="s">
        <v>983</v>
      </c>
      <c r="C207" s="797"/>
      <c r="D207" s="798" t="s">
        <v>984</v>
      </c>
      <c r="E207" s="798"/>
      <c r="F207" s="798"/>
      <c r="G207" s="799" t="s">
        <v>985</v>
      </c>
      <c r="H207" s="799" t="s">
        <v>986</v>
      </c>
      <c r="I207" s="798" t="s">
        <v>392</v>
      </c>
      <c r="J207" s="800" t="s">
        <v>377</v>
      </c>
      <c r="K207" s="792"/>
      <c r="L207" s="801" t="s">
        <v>987</v>
      </c>
      <c r="M207" s="802"/>
      <c r="N207" s="803" t="s">
        <v>988</v>
      </c>
      <c r="O207" s="803"/>
      <c r="P207" s="803"/>
      <c r="Q207" s="803" t="s">
        <v>989</v>
      </c>
      <c r="R207" s="803"/>
      <c r="S207" s="803"/>
      <c r="T207" s="804"/>
      <c r="U207" s="805"/>
      <c r="V207" s="806" t="s">
        <v>990</v>
      </c>
      <c r="W207" s="806"/>
      <c r="X207" s="806"/>
      <c r="Y207" s="806"/>
      <c r="Z207" s="806"/>
      <c r="AA207" s="807" t="s">
        <v>991</v>
      </c>
      <c r="AB207" s="808"/>
      <c r="AC207" s="809" t="s">
        <v>1030</v>
      </c>
      <c r="AD207" s="809"/>
      <c r="AE207" s="809"/>
      <c r="AF207" s="810" t="s">
        <v>993</v>
      </c>
      <c r="AG207" s="811"/>
      <c r="AH207" s="798" t="s">
        <v>994</v>
      </c>
      <c r="AI207" s="798"/>
      <c r="AJ207" s="798"/>
      <c r="AK207" s="812" t="s">
        <v>995</v>
      </c>
      <c r="AL207" s="813"/>
      <c r="AM207" s="814" t="s">
        <v>996</v>
      </c>
      <c r="AN207" s="814"/>
      <c r="AO207" s="814"/>
      <c r="AP207" s="798" t="s">
        <v>997</v>
      </c>
      <c r="AQ207" s="798"/>
      <c r="AR207" s="798"/>
      <c r="AS207" s="798"/>
      <c r="AT207" s="798"/>
      <c r="AU207" s="815" t="s">
        <v>998</v>
      </c>
    </row>
    <row r="208" spans="1:47" ht="15.75" thickBot="1">
      <c r="A208" s="816"/>
      <c r="B208" s="817" t="s">
        <v>372</v>
      </c>
      <c r="C208" s="817" t="s">
        <v>372</v>
      </c>
      <c r="D208" s="818" t="s">
        <v>999</v>
      </c>
      <c r="E208" s="818" t="s">
        <v>1000</v>
      </c>
      <c r="F208" s="818" t="s">
        <v>1001</v>
      </c>
      <c r="G208" s="819" t="s">
        <v>1002</v>
      </c>
      <c r="H208" s="819" t="s">
        <v>1003</v>
      </c>
      <c r="I208" s="818"/>
      <c r="J208" s="820"/>
      <c r="K208" s="792"/>
      <c r="L208" s="821" t="s">
        <v>1006</v>
      </c>
      <c r="M208" s="822"/>
      <c r="N208" s="819" t="s">
        <v>1004</v>
      </c>
      <c r="O208" s="819" t="s">
        <v>1005</v>
      </c>
      <c r="P208" s="819"/>
      <c r="Q208" s="819" t="s">
        <v>1001</v>
      </c>
      <c r="R208" s="819" t="s">
        <v>1000</v>
      </c>
      <c r="S208" s="819" t="s">
        <v>1001</v>
      </c>
      <c r="T208" s="823" t="s">
        <v>1006</v>
      </c>
      <c r="U208" s="824"/>
      <c r="V208" s="825" t="s">
        <v>1007</v>
      </c>
      <c r="W208" s="825"/>
      <c r="X208" s="825"/>
      <c r="Y208" s="825" t="s">
        <v>1005</v>
      </c>
      <c r="Z208" s="825"/>
      <c r="AA208" s="826" t="s">
        <v>1008</v>
      </c>
      <c r="AB208" s="827"/>
      <c r="AC208" s="819" t="s">
        <v>1004</v>
      </c>
      <c r="AD208" s="828" t="s">
        <v>1005</v>
      </c>
      <c r="AE208" s="828"/>
      <c r="AF208" s="829" t="s">
        <v>1006</v>
      </c>
      <c r="AG208" s="830"/>
      <c r="AH208" s="818" t="s">
        <v>1004</v>
      </c>
      <c r="AI208" s="818" t="s">
        <v>1005</v>
      </c>
      <c r="AJ208" s="818"/>
      <c r="AK208" s="831" t="s">
        <v>1009</v>
      </c>
      <c r="AL208" s="832"/>
      <c r="AM208" s="833"/>
      <c r="AN208" s="833"/>
      <c r="AO208" s="833"/>
      <c r="AP208" s="818" t="s">
        <v>1006</v>
      </c>
      <c r="AQ208" s="818"/>
      <c r="AR208" s="818" t="s">
        <v>1010</v>
      </c>
      <c r="AS208" s="818"/>
      <c r="AT208" s="818"/>
      <c r="AU208" s="834" t="s">
        <v>1011</v>
      </c>
    </row>
    <row r="209" spans="1:47" ht="15.75" thickTop="1">
      <c r="A209" s="816"/>
      <c r="B209" s="817"/>
      <c r="C209" s="817"/>
      <c r="D209" s="818"/>
      <c r="E209" s="818"/>
      <c r="F209" s="818"/>
      <c r="G209" s="819"/>
      <c r="H209" s="819"/>
      <c r="I209" s="818"/>
      <c r="J209" s="820"/>
      <c r="K209" s="792"/>
      <c r="L209" s="835"/>
      <c r="M209" s="836"/>
      <c r="N209" s="819"/>
      <c r="O209" s="837" t="s">
        <v>494</v>
      </c>
      <c r="P209" s="837" t="s">
        <v>1012</v>
      </c>
      <c r="Q209" s="819"/>
      <c r="R209" s="819"/>
      <c r="S209" s="819"/>
      <c r="T209" s="838"/>
      <c r="U209" s="839"/>
      <c r="V209" s="840" t="s">
        <v>1001</v>
      </c>
      <c r="W209" s="840" t="s">
        <v>1000</v>
      </c>
      <c r="X209" s="840" t="s">
        <v>1001</v>
      </c>
      <c r="Y209" s="840" t="s">
        <v>494</v>
      </c>
      <c r="Z209" s="840" t="s">
        <v>1012</v>
      </c>
      <c r="AA209" s="841" t="s">
        <v>1013</v>
      </c>
      <c r="AB209" s="842"/>
      <c r="AC209" s="819"/>
      <c r="AD209" s="843" t="s">
        <v>494</v>
      </c>
      <c r="AE209" s="843" t="s">
        <v>1012</v>
      </c>
      <c r="AF209" s="844"/>
      <c r="AG209" s="842"/>
      <c r="AH209" s="818"/>
      <c r="AI209" s="845" t="s">
        <v>494</v>
      </c>
      <c r="AJ209" s="845" t="s">
        <v>1012</v>
      </c>
      <c r="AK209" s="846" t="s">
        <v>1013</v>
      </c>
      <c r="AL209" s="847"/>
      <c r="AM209" s="833"/>
      <c r="AN209" s="833"/>
      <c r="AO209" s="833"/>
      <c r="AP209" s="818"/>
      <c r="AQ209" s="818"/>
      <c r="AR209" s="818"/>
      <c r="AS209" s="818"/>
      <c r="AT209" s="818"/>
      <c r="AU209" s="834"/>
    </row>
    <row r="210" spans="1:47" ht="15.75" thickBot="1">
      <c r="A210" s="848"/>
      <c r="B210" s="817"/>
      <c r="C210" s="817"/>
      <c r="D210" s="849" t="s">
        <v>151</v>
      </c>
      <c r="E210" s="849"/>
      <c r="F210" s="849"/>
      <c r="G210" s="849"/>
      <c r="H210" s="849"/>
      <c r="I210" s="850" t="s">
        <v>1014</v>
      </c>
      <c r="J210" s="851" t="s">
        <v>1015</v>
      </c>
      <c r="K210" s="792"/>
      <c r="L210" s="848" t="s">
        <v>1016</v>
      </c>
      <c r="M210" s="852"/>
      <c r="N210" s="852" t="s">
        <v>1016</v>
      </c>
      <c r="O210" s="852"/>
      <c r="P210" s="852"/>
      <c r="Q210" s="852" t="s">
        <v>151</v>
      </c>
      <c r="R210" s="852"/>
      <c r="S210" s="852"/>
      <c r="T210" s="823" t="s">
        <v>34</v>
      </c>
      <c r="U210" s="853"/>
      <c r="V210" s="854" t="s">
        <v>34</v>
      </c>
      <c r="W210" s="854"/>
      <c r="X210" s="854"/>
      <c r="Y210" s="854"/>
      <c r="Z210" s="854"/>
      <c r="AA210" s="849" t="s">
        <v>151</v>
      </c>
      <c r="AB210" s="849"/>
      <c r="AC210" s="852" t="s">
        <v>151</v>
      </c>
      <c r="AD210" s="852"/>
      <c r="AE210" s="852"/>
      <c r="AF210" s="849" t="s">
        <v>151</v>
      </c>
      <c r="AG210" s="849"/>
      <c r="AH210" s="849" t="s">
        <v>151</v>
      </c>
      <c r="AI210" s="849"/>
      <c r="AJ210" s="849"/>
      <c r="AK210" s="855" t="s">
        <v>1017</v>
      </c>
      <c r="AL210" s="855"/>
      <c r="AM210" s="855"/>
      <c r="AN210" s="855"/>
      <c r="AO210" s="855"/>
      <c r="AP210" s="849" t="s">
        <v>7</v>
      </c>
      <c r="AQ210" s="849"/>
      <c r="AR210" s="849"/>
      <c r="AS210" s="849"/>
      <c r="AT210" s="849"/>
      <c r="AU210" s="856"/>
    </row>
    <row r="211" spans="1:47" ht="15.75" thickBot="1">
      <c r="A211" s="857" t="s">
        <v>1047</v>
      </c>
      <c r="B211" s="858"/>
      <c r="C211" s="858"/>
      <c r="D211" s="859"/>
      <c r="E211" s="859"/>
      <c r="F211" s="859"/>
      <c r="G211" s="858"/>
      <c r="H211" s="859"/>
      <c r="I211" s="859"/>
      <c r="J211" s="859"/>
      <c r="K211" s="792"/>
      <c r="L211" s="860" t="str">
        <f>A211</f>
        <v>Kolom Lantai 17</v>
      </c>
      <c r="M211" s="858"/>
      <c r="N211" s="858"/>
      <c r="O211" s="858"/>
      <c r="P211" s="858"/>
      <c r="Q211" s="858"/>
      <c r="R211" s="858"/>
      <c r="S211" s="858"/>
      <c r="T211" s="858"/>
      <c r="U211" s="858"/>
      <c r="V211" s="861"/>
      <c r="W211" s="861"/>
      <c r="X211" s="861"/>
      <c r="Y211" s="861"/>
      <c r="Z211" s="861"/>
      <c r="AA211" s="859"/>
      <c r="AB211" s="859"/>
      <c r="AC211" s="858"/>
      <c r="AD211" s="862"/>
      <c r="AE211" s="862"/>
      <c r="AF211" s="859"/>
      <c r="AG211" s="859"/>
      <c r="AH211" s="859"/>
      <c r="AI211" s="859"/>
      <c r="AJ211" s="859"/>
      <c r="AK211" s="863"/>
      <c r="AL211" s="863"/>
      <c r="AM211" s="863"/>
      <c r="AN211" s="863"/>
      <c r="AO211" s="863"/>
      <c r="AP211" s="859"/>
      <c r="AQ211" s="859"/>
      <c r="AR211" s="859"/>
      <c r="AS211" s="859"/>
      <c r="AT211" s="859"/>
      <c r="AU211" s="861"/>
    </row>
    <row r="212" spans="1:47" ht="15.75" thickBot="1">
      <c r="A212" s="858">
        <v>1</v>
      </c>
      <c r="B212" s="858" t="s">
        <v>1019</v>
      </c>
      <c r="C212" s="858">
        <v>17</v>
      </c>
      <c r="D212" s="859">
        <v>0.5</v>
      </c>
      <c r="E212" s="859">
        <f>D212</f>
        <v>0.5</v>
      </c>
      <c r="F212" s="859">
        <v>3</v>
      </c>
      <c r="G212" s="858">
        <v>0.12</v>
      </c>
      <c r="H212" s="859">
        <f>F212-G212</f>
        <v>2.88</v>
      </c>
      <c r="I212" s="859">
        <f>H212*E212*D212*C212</f>
        <v>12.24</v>
      </c>
      <c r="J212" s="859">
        <f>(D212+D212+E212+E212)*H212*C212</f>
        <v>97.92</v>
      </c>
      <c r="K212" s="792"/>
      <c r="L212" s="858">
        <v>16</v>
      </c>
      <c r="M212" s="858"/>
      <c r="N212" s="858">
        <v>10</v>
      </c>
      <c r="O212" s="858"/>
      <c r="P212" s="858"/>
      <c r="Q212" s="858">
        <v>0.1</v>
      </c>
      <c r="R212" s="858">
        <v>0.15</v>
      </c>
      <c r="S212" s="858">
        <v>0.1</v>
      </c>
      <c r="T212" s="858">
        <v>16</v>
      </c>
      <c r="U212" s="858"/>
      <c r="V212" s="861">
        <f t="shared" ref="V212:V215" si="304">(H212/4)/Q212+1</f>
        <v>8.1999999999999993</v>
      </c>
      <c r="W212" s="861">
        <f t="shared" ref="W212:W215" si="305">(H212/2)/R212+1</f>
        <v>10.6</v>
      </c>
      <c r="X212" s="861">
        <f t="shared" ref="X212:X215" si="306">(H212/4)/S212+1</f>
        <v>8.1999999999999993</v>
      </c>
      <c r="Y212" s="861">
        <v>1</v>
      </c>
      <c r="Z212" s="861">
        <v>2</v>
      </c>
      <c r="AA212" s="859">
        <f>(H212)+(2*6*L212/1000)+(50*L212/1000)+(0.12)</f>
        <v>3.992</v>
      </c>
      <c r="AB212" s="859"/>
      <c r="AC212" s="858">
        <f>(2*D212)+(2*E212)+(2*6*N212/1000)-(8*0.03)</f>
        <v>1.8800000000000001</v>
      </c>
      <c r="AD212" s="862">
        <f>(E212)+(2*6*O212/1000)-(2*0.03)</f>
        <v>0.44</v>
      </c>
      <c r="AE212" s="862">
        <f>(D212)+(2*6*P212/1000)-(2*0.03)</f>
        <v>0.44</v>
      </c>
      <c r="AF212" s="859">
        <f>AA212*T212*C212</f>
        <v>1085.8240000000001</v>
      </c>
      <c r="AG212" s="859"/>
      <c r="AH212" s="859">
        <f>AC212*(V212+W212+X212)*C212</f>
        <v>862.92</v>
      </c>
      <c r="AI212" s="859">
        <f t="shared" ref="AI212:AI215" si="307">(AD212*Y212*(V212+W212+X212)*C212)</f>
        <v>201.95999999999998</v>
      </c>
      <c r="AJ212" s="859">
        <f t="shared" ref="AJ212:AJ215" si="308">(AE212*Z212*(V212+W212+X212)*C212)</f>
        <v>403.91999999999996</v>
      </c>
      <c r="AK212" s="863">
        <f t="shared" ref="AK212:AK215" si="309">L212*L212*0.074/12</f>
        <v>1.5786666666666667</v>
      </c>
      <c r="AL212" s="863"/>
      <c r="AM212" s="863">
        <f t="shared" ref="AM212:AO215" si="310">N212*N212*0.074/12</f>
        <v>0.61666666666666659</v>
      </c>
      <c r="AN212" s="863">
        <f t="shared" si="310"/>
        <v>0</v>
      </c>
      <c r="AO212" s="863">
        <f t="shared" si="310"/>
        <v>0</v>
      </c>
      <c r="AP212" s="859">
        <f>AF212*AK212</f>
        <v>1714.1541546666667</v>
      </c>
      <c r="AQ212" s="859"/>
      <c r="AR212" s="859">
        <f>AH212*AM212</f>
        <v>532.1339999999999</v>
      </c>
      <c r="AS212" s="859">
        <f>AI212*AN212</f>
        <v>0</v>
      </c>
      <c r="AT212" s="859">
        <f t="shared" ref="AT212:AT215" si="311">AJ212*AO212</f>
        <v>0</v>
      </c>
      <c r="AU212" s="861">
        <f t="shared" ref="AU212:AU215" si="312">SUM(AP212:AT212)/I212</f>
        <v>183.52027407407408</v>
      </c>
    </row>
    <row r="213" spans="1:47" ht="15.75" thickBot="1">
      <c r="A213" s="858">
        <v>2</v>
      </c>
      <c r="B213" s="858" t="s">
        <v>1020</v>
      </c>
      <c r="C213" s="858">
        <v>4</v>
      </c>
      <c r="D213" s="859">
        <v>0.6</v>
      </c>
      <c r="E213" s="859">
        <f>D213</f>
        <v>0.6</v>
      </c>
      <c r="F213" s="859">
        <v>3</v>
      </c>
      <c r="G213" s="858">
        <v>0.12</v>
      </c>
      <c r="H213" s="859">
        <f t="shared" ref="H213:H215" si="313">F213-G213</f>
        <v>2.88</v>
      </c>
      <c r="I213" s="859">
        <f t="shared" ref="I213:I215" si="314">H213*E213*D213*C213</f>
        <v>4.1471999999999998</v>
      </c>
      <c r="J213" s="859">
        <f t="shared" ref="J213:J215" si="315">(D213+D213+E213+E213)*H213*C213</f>
        <v>27.648</v>
      </c>
      <c r="K213" s="792"/>
      <c r="L213" s="858">
        <v>16</v>
      </c>
      <c r="M213" s="858"/>
      <c r="N213" s="858">
        <v>10</v>
      </c>
      <c r="O213" s="858"/>
      <c r="P213" s="858"/>
      <c r="Q213" s="858">
        <v>0.1</v>
      </c>
      <c r="R213" s="858">
        <v>0.15</v>
      </c>
      <c r="S213" s="858">
        <v>0.1</v>
      </c>
      <c r="T213" s="858">
        <v>16</v>
      </c>
      <c r="U213" s="858"/>
      <c r="V213" s="861">
        <f t="shared" si="304"/>
        <v>8.1999999999999993</v>
      </c>
      <c r="W213" s="861">
        <f t="shared" si="305"/>
        <v>10.6</v>
      </c>
      <c r="X213" s="861">
        <f t="shared" si="306"/>
        <v>8.1999999999999993</v>
      </c>
      <c r="Y213" s="861">
        <v>1</v>
      </c>
      <c r="Z213" s="861">
        <v>2</v>
      </c>
      <c r="AA213" s="859">
        <f t="shared" ref="AA213:AA215" si="316">(H213)+(2*6*L213/1000)+(50*L213/1000)+(0.12)</f>
        <v>3.992</v>
      </c>
      <c r="AB213" s="859"/>
      <c r="AC213" s="858">
        <f t="shared" ref="AC213:AC215" si="317">(2*D213)+(2*E213)+(2*6*N213/1000)-(8*0.03)</f>
        <v>2.2800000000000002</v>
      </c>
      <c r="AD213" s="862">
        <f t="shared" ref="AD213:AD215" si="318">(E213)+(2*6*O213/1000)-(2*0.03)</f>
        <v>0.54</v>
      </c>
      <c r="AE213" s="862">
        <f t="shared" ref="AE213:AE215" si="319">(D213)+(2*6*P213/1000)-(2*0.03)</f>
        <v>0.54</v>
      </c>
      <c r="AF213" s="859">
        <f t="shared" ref="AF213:AF215" si="320">AA213*T213*C213</f>
        <v>255.488</v>
      </c>
      <c r="AG213" s="859"/>
      <c r="AH213" s="859">
        <f t="shared" ref="AH213:AH215" si="321">AC213*(V213+W213+X213)*C213</f>
        <v>246.23999999999998</v>
      </c>
      <c r="AI213" s="859">
        <f t="shared" si="307"/>
        <v>58.319999999999993</v>
      </c>
      <c r="AJ213" s="859">
        <f t="shared" si="308"/>
        <v>116.63999999999999</v>
      </c>
      <c r="AK213" s="863">
        <f t="shared" si="309"/>
        <v>1.5786666666666667</v>
      </c>
      <c r="AL213" s="863"/>
      <c r="AM213" s="863">
        <f t="shared" si="310"/>
        <v>0.61666666666666659</v>
      </c>
      <c r="AN213" s="863">
        <f t="shared" si="310"/>
        <v>0</v>
      </c>
      <c r="AO213" s="863">
        <f t="shared" si="310"/>
        <v>0</v>
      </c>
      <c r="AP213" s="859">
        <f t="shared" ref="AP213" si="322">AF213*AK213</f>
        <v>403.33038933333336</v>
      </c>
      <c r="AQ213" s="859"/>
      <c r="AR213" s="859">
        <f t="shared" ref="AR213:AS215" si="323">AH213*AM213</f>
        <v>151.84799999999996</v>
      </c>
      <c r="AS213" s="859">
        <f t="shared" si="323"/>
        <v>0</v>
      </c>
      <c r="AT213" s="859">
        <f t="shared" si="311"/>
        <v>0</v>
      </c>
      <c r="AU213" s="861">
        <f t="shared" si="312"/>
        <v>133.86824588477367</v>
      </c>
    </row>
    <row r="214" spans="1:47" ht="15.75" thickBot="1">
      <c r="A214" s="858">
        <v>3</v>
      </c>
      <c r="B214" s="858" t="s">
        <v>1023</v>
      </c>
      <c r="C214" s="858">
        <v>4</v>
      </c>
      <c r="D214" s="859">
        <v>0.5</v>
      </c>
      <c r="E214" s="859">
        <f>D214</f>
        <v>0.5</v>
      </c>
      <c r="F214" s="859">
        <v>3</v>
      </c>
      <c r="G214" s="858">
        <v>0.12</v>
      </c>
      <c r="H214" s="859">
        <f t="shared" si="313"/>
        <v>2.88</v>
      </c>
      <c r="I214" s="859">
        <f t="shared" si="314"/>
        <v>2.88</v>
      </c>
      <c r="J214" s="859">
        <f t="shared" si="315"/>
        <v>23.04</v>
      </c>
      <c r="K214" s="792"/>
      <c r="L214" s="858">
        <v>19</v>
      </c>
      <c r="M214" s="858"/>
      <c r="N214" s="858">
        <v>10</v>
      </c>
      <c r="O214" s="858"/>
      <c r="P214" s="858"/>
      <c r="Q214" s="858">
        <v>0.1</v>
      </c>
      <c r="R214" s="858">
        <v>0.15</v>
      </c>
      <c r="S214" s="858">
        <v>0.1</v>
      </c>
      <c r="T214" s="858">
        <v>16</v>
      </c>
      <c r="U214" s="858"/>
      <c r="V214" s="861">
        <f t="shared" si="304"/>
        <v>8.1999999999999993</v>
      </c>
      <c r="W214" s="861">
        <f t="shared" si="305"/>
        <v>10.6</v>
      </c>
      <c r="X214" s="861">
        <f t="shared" si="306"/>
        <v>8.1999999999999993</v>
      </c>
      <c r="Y214" s="861">
        <v>1</v>
      </c>
      <c r="Z214" s="861">
        <v>2</v>
      </c>
      <c r="AA214" s="859">
        <f t="shared" si="316"/>
        <v>4.1779999999999999</v>
      </c>
      <c r="AB214" s="859"/>
      <c r="AC214" s="858">
        <f t="shared" si="317"/>
        <v>1.8800000000000001</v>
      </c>
      <c r="AD214" s="862">
        <f t="shared" si="318"/>
        <v>0.44</v>
      </c>
      <c r="AE214" s="862">
        <f t="shared" si="319"/>
        <v>0.44</v>
      </c>
      <c r="AF214" s="859">
        <f t="shared" si="320"/>
        <v>267.392</v>
      </c>
      <c r="AG214" s="859"/>
      <c r="AH214" s="859">
        <f t="shared" si="321"/>
        <v>203.04</v>
      </c>
      <c r="AI214" s="859">
        <f t="shared" si="307"/>
        <v>47.519999999999996</v>
      </c>
      <c r="AJ214" s="859">
        <f t="shared" si="308"/>
        <v>95.039999999999992</v>
      </c>
      <c r="AK214" s="863">
        <f t="shared" si="309"/>
        <v>2.2261666666666664</v>
      </c>
      <c r="AL214" s="863"/>
      <c r="AM214" s="863">
        <f t="shared" si="310"/>
        <v>0.61666666666666659</v>
      </c>
      <c r="AN214" s="863">
        <f t="shared" si="310"/>
        <v>0</v>
      </c>
      <c r="AO214" s="863">
        <f t="shared" si="310"/>
        <v>0</v>
      </c>
      <c r="AP214" s="859">
        <f>AF214*AK214</f>
        <v>595.25915733333329</v>
      </c>
      <c r="AQ214" s="859"/>
      <c r="AR214" s="859">
        <f>AH214*AM214</f>
        <v>125.20799999999998</v>
      </c>
      <c r="AS214" s="859">
        <f t="shared" si="323"/>
        <v>0</v>
      </c>
      <c r="AT214" s="859">
        <f t="shared" si="311"/>
        <v>0</v>
      </c>
      <c r="AU214" s="861">
        <f t="shared" si="312"/>
        <v>250.16220740740738</v>
      </c>
    </row>
    <row r="215" spans="1:47" ht="15.75" thickBot="1">
      <c r="A215" s="858">
        <v>4</v>
      </c>
      <c r="B215" s="858" t="s">
        <v>1024</v>
      </c>
      <c r="C215" s="858">
        <v>2</v>
      </c>
      <c r="D215" s="859">
        <v>0.7</v>
      </c>
      <c r="E215" s="859">
        <f>D215</f>
        <v>0.7</v>
      </c>
      <c r="F215" s="859">
        <v>3</v>
      </c>
      <c r="G215" s="858">
        <v>0.12</v>
      </c>
      <c r="H215" s="859">
        <f t="shared" si="313"/>
        <v>2.88</v>
      </c>
      <c r="I215" s="859">
        <f t="shared" si="314"/>
        <v>2.8224</v>
      </c>
      <c r="J215" s="859">
        <f t="shared" si="315"/>
        <v>16.128</v>
      </c>
      <c r="K215" s="792"/>
      <c r="L215" s="858">
        <v>19</v>
      </c>
      <c r="M215" s="858"/>
      <c r="N215" s="858">
        <v>10</v>
      </c>
      <c r="O215" s="858"/>
      <c r="P215" s="858"/>
      <c r="Q215" s="858">
        <v>0.1</v>
      </c>
      <c r="R215" s="858">
        <v>0.15</v>
      </c>
      <c r="S215" s="858">
        <v>0.1</v>
      </c>
      <c r="T215" s="858">
        <v>16</v>
      </c>
      <c r="U215" s="858"/>
      <c r="V215" s="861">
        <f t="shared" si="304"/>
        <v>8.1999999999999993</v>
      </c>
      <c r="W215" s="861">
        <f t="shared" si="305"/>
        <v>10.6</v>
      </c>
      <c r="X215" s="861">
        <f t="shared" si="306"/>
        <v>8.1999999999999993</v>
      </c>
      <c r="Y215" s="861">
        <v>1</v>
      </c>
      <c r="Z215" s="861">
        <v>2</v>
      </c>
      <c r="AA215" s="859">
        <f t="shared" si="316"/>
        <v>4.1779999999999999</v>
      </c>
      <c r="AB215" s="859"/>
      <c r="AC215" s="858">
        <f t="shared" si="317"/>
        <v>2.6799999999999997</v>
      </c>
      <c r="AD215" s="862">
        <f t="shared" si="318"/>
        <v>0.6399999999999999</v>
      </c>
      <c r="AE215" s="862">
        <f t="shared" si="319"/>
        <v>0.6399999999999999</v>
      </c>
      <c r="AF215" s="859">
        <f t="shared" si="320"/>
        <v>133.696</v>
      </c>
      <c r="AG215" s="859"/>
      <c r="AH215" s="859">
        <f t="shared" si="321"/>
        <v>144.71999999999997</v>
      </c>
      <c r="AI215" s="859">
        <f t="shared" si="307"/>
        <v>34.559999999999988</v>
      </c>
      <c r="AJ215" s="859">
        <f t="shared" si="308"/>
        <v>69.119999999999976</v>
      </c>
      <c r="AK215" s="863">
        <f t="shared" si="309"/>
        <v>2.2261666666666664</v>
      </c>
      <c r="AL215" s="863"/>
      <c r="AM215" s="863">
        <f t="shared" si="310"/>
        <v>0.61666666666666659</v>
      </c>
      <c r="AN215" s="863">
        <f t="shared" si="310"/>
        <v>0</v>
      </c>
      <c r="AO215" s="863">
        <f t="shared" si="310"/>
        <v>0</v>
      </c>
      <c r="AP215" s="859">
        <f>AF215*AK215</f>
        <v>297.62957866666665</v>
      </c>
      <c r="AQ215" s="859"/>
      <c r="AR215" s="859">
        <f>AH215*AM215</f>
        <v>89.243999999999971</v>
      </c>
      <c r="AS215" s="859">
        <f t="shared" si="323"/>
        <v>0</v>
      </c>
      <c r="AT215" s="859">
        <f t="shared" si="311"/>
        <v>0</v>
      </c>
      <c r="AU215" s="861">
        <f t="shared" si="312"/>
        <v>137.07255479969763</v>
      </c>
    </row>
    <row r="216" spans="1:47">
      <c r="A216" s="792"/>
      <c r="B216" s="792"/>
      <c r="C216" s="792"/>
      <c r="D216" s="794"/>
      <c r="E216" s="794"/>
      <c r="F216" s="794"/>
      <c r="G216" s="792"/>
      <c r="H216" s="792"/>
      <c r="I216" s="794"/>
      <c r="J216" s="794"/>
      <c r="K216" s="866"/>
      <c r="L216" s="920"/>
      <c r="M216" s="921"/>
      <c r="N216" s="921"/>
      <c r="O216" s="921"/>
      <c r="P216" s="921"/>
      <c r="Q216" s="921"/>
      <c r="R216" s="921"/>
      <c r="S216" s="921"/>
      <c r="T216" s="921"/>
      <c r="U216" s="921"/>
      <c r="V216" s="922"/>
      <c r="W216" s="922"/>
      <c r="X216" s="922"/>
      <c r="Y216" s="922"/>
      <c r="Z216" s="922"/>
      <c r="AA216" s="923"/>
      <c r="AB216" s="923"/>
      <c r="AC216" s="921"/>
      <c r="AD216" s="924"/>
      <c r="AE216" s="924"/>
      <c r="AF216" s="923"/>
      <c r="AG216" s="923"/>
      <c r="AH216" s="923"/>
      <c r="AI216" s="923"/>
      <c r="AJ216" s="923"/>
      <c r="AK216" s="925"/>
      <c r="AL216" s="925"/>
      <c r="AM216" s="925"/>
      <c r="AN216" s="925"/>
      <c r="AO216" s="925"/>
      <c r="AP216" s="923"/>
      <c r="AQ216" s="923"/>
      <c r="AR216" s="923"/>
      <c r="AS216" s="923"/>
      <c r="AT216" s="923"/>
      <c r="AU216" s="926"/>
    </row>
  </sheetData>
  <mergeCells count="918">
    <mergeCell ref="AA210:AB210"/>
    <mergeCell ref="AC210:AE210"/>
    <mergeCell ref="AF210:AG210"/>
    <mergeCell ref="AH210:AJ210"/>
    <mergeCell ref="AK210:AO210"/>
    <mergeCell ref="AP210:AT210"/>
    <mergeCell ref="D210:H210"/>
    <mergeCell ref="L210:M210"/>
    <mergeCell ref="N210:P210"/>
    <mergeCell ref="Q210:S210"/>
    <mergeCell ref="T210:U210"/>
    <mergeCell ref="V210:Z210"/>
    <mergeCell ref="AH208:AH209"/>
    <mergeCell ref="AI208:AJ208"/>
    <mergeCell ref="AK208:AL208"/>
    <mergeCell ref="AP208:AQ209"/>
    <mergeCell ref="AR208:AT209"/>
    <mergeCell ref="AU208:AU210"/>
    <mergeCell ref="AK209:AL209"/>
    <mergeCell ref="T208:U209"/>
    <mergeCell ref="V208:X208"/>
    <mergeCell ref="Y208:Z208"/>
    <mergeCell ref="AC208:AC209"/>
    <mergeCell ref="AD208:AE208"/>
    <mergeCell ref="AF208:AG208"/>
    <mergeCell ref="AM207:AO209"/>
    <mergeCell ref="AP207:AT207"/>
    <mergeCell ref="B208:B210"/>
    <mergeCell ref="C208:C210"/>
    <mergeCell ref="D208:D209"/>
    <mergeCell ref="E208:E209"/>
    <mergeCell ref="F208:F209"/>
    <mergeCell ref="G208:G209"/>
    <mergeCell ref="H208:H209"/>
    <mergeCell ref="N208:N209"/>
    <mergeCell ref="T207:U207"/>
    <mergeCell ref="V207:Z207"/>
    <mergeCell ref="AC207:AE207"/>
    <mergeCell ref="AF207:AG207"/>
    <mergeCell ref="AH207:AJ207"/>
    <mergeCell ref="AK207:AL207"/>
    <mergeCell ref="A207:A210"/>
    <mergeCell ref="D207:F207"/>
    <mergeCell ref="I207:I209"/>
    <mergeCell ref="J207:J209"/>
    <mergeCell ref="N207:P207"/>
    <mergeCell ref="Q207:S207"/>
    <mergeCell ref="O208:P208"/>
    <mergeCell ref="Q208:Q209"/>
    <mergeCell ref="R208:R209"/>
    <mergeCell ref="S208:S209"/>
    <mergeCell ref="AA200:AB200"/>
    <mergeCell ref="AC200:AE200"/>
    <mergeCell ref="AF200:AG200"/>
    <mergeCell ref="AH200:AJ200"/>
    <mergeCell ref="AK200:AO200"/>
    <mergeCell ref="AP200:AT200"/>
    <mergeCell ref="D200:H200"/>
    <mergeCell ref="L200:M200"/>
    <mergeCell ref="N200:P200"/>
    <mergeCell ref="Q200:S200"/>
    <mergeCell ref="T200:U200"/>
    <mergeCell ref="V200:Z200"/>
    <mergeCell ref="AH198:AH199"/>
    <mergeCell ref="AI198:AJ198"/>
    <mergeCell ref="AK198:AL198"/>
    <mergeCell ref="AP198:AQ199"/>
    <mergeCell ref="AR198:AT199"/>
    <mergeCell ref="AU198:AU200"/>
    <mergeCell ref="AK199:AL199"/>
    <mergeCell ref="T198:U199"/>
    <mergeCell ref="V198:X198"/>
    <mergeCell ref="Y198:Z198"/>
    <mergeCell ref="AC198:AC199"/>
    <mergeCell ref="AD198:AE198"/>
    <mergeCell ref="AF198:AG198"/>
    <mergeCell ref="AM197:AO199"/>
    <mergeCell ref="AP197:AT197"/>
    <mergeCell ref="B198:B200"/>
    <mergeCell ref="C198:C200"/>
    <mergeCell ref="D198:D199"/>
    <mergeCell ref="E198:E199"/>
    <mergeCell ref="F198:F199"/>
    <mergeCell ref="G198:G199"/>
    <mergeCell ref="H198:H199"/>
    <mergeCell ref="N198:N199"/>
    <mergeCell ref="T197:U197"/>
    <mergeCell ref="V197:Z197"/>
    <mergeCell ref="AC197:AE197"/>
    <mergeCell ref="AF197:AG197"/>
    <mergeCell ref="AH197:AJ197"/>
    <mergeCell ref="AK197:AL197"/>
    <mergeCell ref="A197:A200"/>
    <mergeCell ref="D197:F197"/>
    <mergeCell ref="I197:I199"/>
    <mergeCell ref="J197:J199"/>
    <mergeCell ref="N197:P197"/>
    <mergeCell ref="Q197:S197"/>
    <mergeCell ref="O198:P198"/>
    <mergeCell ref="Q198:Q199"/>
    <mergeCell ref="R198:R199"/>
    <mergeCell ref="S198:S199"/>
    <mergeCell ref="AA190:AB190"/>
    <mergeCell ref="AC190:AE190"/>
    <mergeCell ref="AF190:AG190"/>
    <mergeCell ref="AH190:AJ190"/>
    <mergeCell ref="AK190:AO190"/>
    <mergeCell ref="AP190:AT190"/>
    <mergeCell ref="D190:H190"/>
    <mergeCell ref="L190:M190"/>
    <mergeCell ref="N190:P190"/>
    <mergeCell ref="Q190:S190"/>
    <mergeCell ref="T190:U190"/>
    <mergeCell ref="V190:Z190"/>
    <mergeCell ref="AH188:AH189"/>
    <mergeCell ref="AI188:AJ188"/>
    <mergeCell ref="AK188:AL188"/>
    <mergeCell ref="AP188:AQ189"/>
    <mergeCell ref="AR188:AT189"/>
    <mergeCell ref="AU188:AU190"/>
    <mergeCell ref="AK189:AL189"/>
    <mergeCell ref="T188:U189"/>
    <mergeCell ref="V188:X188"/>
    <mergeCell ref="Y188:Z188"/>
    <mergeCell ref="AC188:AC189"/>
    <mergeCell ref="AD188:AE188"/>
    <mergeCell ref="AF188:AG188"/>
    <mergeCell ref="AM187:AO189"/>
    <mergeCell ref="AP187:AT187"/>
    <mergeCell ref="B188:B190"/>
    <mergeCell ref="C188:C190"/>
    <mergeCell ref="D188:D189"/>
    <mergeCell ref="E188:E189"/>
    <mergeCell ref="F188:F189"/>
    <mergeCell ref="G188:G189"/>
    <mergeCell ref="H188:H189"/>
    <mergeCell ref="N188:N189"/>
    <mergeCell ref="T187:U187"/>
    <mergeCell ref="V187:Z187"/>
    <mergeCell ref="AC187:AE187"/>
    <mergeCell ref="AF187:AG187"/>
    <mergeCell ref="AH187:AJ187"/>
    <mergeCell ref="AK187:AL187"/>
    <mergeCell ref="A187:A190"/>
    <mergeCell ref="D187:F187"/>
    <mergeCell ref="I187:I189"/>
    <mergeCell ref="J187:J189"/>
    <mergeCell ref="N187:P187"/>
    <mergeCell ref="Q187:S187"/>
    <mergeCell ref="O188:P188"/>
    <mergeCell ref="Q188:Q189"/>
    <mergeCell ref="R188:R189"/>
    <mergeCell ref="S188:S189"/>
    <mergeCell ref="AA180:AB180"/>
    <mergeCell ref="AC180:AE180"/>
    <mergeCell ref="AF180:AG180"/>
    <mergeCell ref="AH180:AJ180"/>
    <mergeCell ref="AK180:AO180"/>
    <mergeCell ref="AP180:AT180"/>
    <mergeCell ref="D180:H180"/>
    <mergeCell ref="L180:M180"/>
    <mergeCell ref="N180:P180"/>
    <mergeCell ref="Q180:S180"/>
    <mergeCell ref="T180:U180"/>
    <mergeCell ref="V180:Z180"/>
    <mergeCell ref="AH178:AH179"/>
    <mergeCell ref="AI178:AJ178"/>
    <mergeCell ref="AK178:AL178"/>
    <mergeCell ref="AP178:AQ179"/>
    <mergeCell ref="AR178:AT179"/>
    <mergeCell ref="AU178:AU180"/>
    <mergeCell ref="AK179:AL179"/>
    <mergeCell ref="T178:U179"/>
    <mergeCell ref="V178:X178"/>
    <mergeCell ref="Y178:Z178"/>
    <mergeCell ref="AC178:AC179"/>
    <mergeCell ref="AD178:AE178"/>
    <mergeCell ref="AF178:AG178"/>
    <mergeCell ref="AM177:AO179"/>
    <mergeCell ref="AP177:AT177"/>
    <mergeCell ref="B178:B180"/>
    <mergeCell ref="C178:C180"/>
    <mergeCell ref="D178:D179"/>
    <mergeCell ref="E178:E179"/>
    <mergeCell ref="F178:F179"/>
    <mergeCell ref="G178:G179"/>
    <mergeCell ref="H178:H179"/>
    <mergeCell ref="N178:N179"/>
    <mergeCell ref="T177:U177"/>
    <mergeCell ref="V177:Z177"/>
    <mergeCell ref="AC177:AE177"/>
    <mergeCell ref="AF177:AG177"/>
    <mergeCell ref="AH177:AJ177"/>
    <mergeCell ref="AK177:AL177"/>
    <mergeCell ref="A177:A180"/>
    <mergeCell ref="D177:F177"/>
    <mergeCell ref="I177:I179"/>
    <mergeCell ref="J177:J179"/>
    <mergeCell ref="N177:P177"/>
    <mergeCell ref="Q177:S177"/>
    <mergeCell ref="O178:P178"/>
    <mergeCell ref="Q178:Q179"/>
    <mergeCell ref="R178:R179"/>
    <mergeCell ref="S178:S179"/>
    <mergeCell ref="AA170:AB170"/>
    <mergeCell ref="AC170:AE170"/>
    <mergeCell ref="AF170:AG170"/>
    <mergeCell ref="AH170:AJ170"/>
    <mergeCell ref="AK170:AO170"/>
    <mergeCell ref="AP170:AT170"/>
    <mergeCell ref="D170:H170"/>
    <mergeCell ref="L170:M170"/>
    <mergeCell ref="N170:P170"/>
    <mergeCell ref="Q170:S170"/>
    <mergeCell ref="T170:U170"/>
    <mergeCell ref="V170:Z170"/>
    <mergeCell ref="AH168:AH169"/>
    <mergeCell ref="AI168:AJ168"/>
    <mergeCell ref="AK168:AL168"/>
    <mergeCell ref="AP168:AQ169"/>
    <mergeCell ref="AR168:AT169"/>
    <mergeCell ref="AU168:AU170"/>
    <mergeCell ref="AK169:AL169"/>
    <mergeCell ref="T168:U169"/>
    <mergeCell ref="V168:X168"/>
    <mergeCell ref="Y168:Z168"/>
    <mergeCell ref="AC168:AC169"/>
    <mergeCell ref="AD168:AE168"/>
    <mergeCell ref="AF168:AG168"/>
    <mergeCell ref="AM167:AO169"/>
    <mergeCell ref="AP167:AT167"/>
    <mergeCell ref="B168:B170"/>
    <mergeCell ref="C168:C170"/>
    <mergeCell ref="D168:D169"/>
    <mergeCell ref="E168:E169"/>
    <mergeCell ref="F168:F169"/>
    <mergeCell ref="G168:G169"/>
    <mergeCell ref="H168:H169"/>
    <mergeCell ref="N168:N169"/>
    <mergeCell ref="T167:U167"/>
    <mergeCell ref="V167:Z167"/>
    <mergeCell ref="AC167:AE167"/>
    <mergeCell ref="AF167:AG167"/>
    <mergeCell ref="AH167:AJ167"/>
    <mergeCell ref="AK167:AL167"/>
    <mergeCell ref="A167:A170"/>
    <mergeCell ref="D167:F167"/>
    <mergeCell ref="I167:I169"/>
    <mergeCell ref="J167:J169"/>
    <mergeCell ref="N167:P167"/>
    <mergeCell ref="Q167:S167"/>
    <mergeCell ref="O168:P168"/>
    <mergeCell ref="Q168:Q169"/>
    <mergeCell ref="R168:R169"/>
    <mergeCell ref="S168:S169"/>
    <mergeCell ref="AA160:AB160"/>
    <mergeCell ref="AC160:AE160"/>
    <mergeCell ref="AF160:AG160"/>
    <mergeCell ref="AH160:AJ160"/>
    <mergeCell ref="AK160:AO160"/>
    <mergeCell ref="AP160:AT160"/>
    <mergeCell ref="D160:H160"/>
    <mergeCell ref="L160:M160"/>
    <mergeCell ref="N160:P160"/>
    <mergeCell ref="Q160:S160"/>
    <mergeCell ref="T160:U160"/>
    <mergeCell ref="V160:Z160"/>
    <mergeCell ref="AH158:AH159"/>
    <mergeCell ref="AI158:AJ158"/>
    <mergeCell ref="AK158:AL158"/>
    <mergeCell ref="AP158:AQ159"/>
    <mergeCell ref="AR158:AT159"/>
    <mergeCell ref="AU158:AU160"/>
    <mergeCell ref="AK159:AL159"/>
    <mergeCell ref="T158:U159"/>
    <mergeCell ref="V158:X158"/>
    <mergeCell ref="Y158:Z158"/>
    <mergeCell ref="AC158:AC159"/>
    <mergeCell ref="AD158:AE158"/>
    <mergeCell ref="AF158:AG158"/>
    <mergeCell ref="AM157:AO159"/>
    <mergeCell ref="AP157:AT157"/>
    <mergeCell ref="B158:B160"/>
    <mergeCell ref="C158:C160"/>
    <mergeCell ref="D158:D159"/>
    <mergeCell ref="E158:E159"/>
    <mergeCell ref="F158:F159"/>
    <mergeCell ref="G158:G159"/>
    <mergeCell ref="H158:H159"/>
    <mergeCell ref="N158:N159"/>
    <mergeCell ref="T157:U157"/>
    <mergeCell ref="V157:Z157"/>
    <mergeCell ref="AC157:AE157"/>
    <mergeCell ref="AF157:AG157"/>
    <mergeCell ref="AH157:AJ157"/>
    <mergeCell ref="AK157:AL157"/>
    <mergeCell ref="A157:A160"/>
    <mergeCell ref="D157:F157"/>
    <mergeCell ref="I157:I159"/>
    <mergeCell ref="J157:J159"/>
    <mergeCell ref="N157:P157"/>
    <mergeCell ref="Q157:S157"/>
    <mergeCell ref="O158:P158"/>
    <mergeCell ref="Q158:Q159"/>
    <mergeCell ref="R158:R159"/>
    <mergeCell ref="S158:S159"/>
    <mergeCell ref="AA150:AB150"/>
    <mergeCell ref="AC150:AE150"/>
    <mergeCell ref="AF150:AG150"/>
    <mergeCell ref="AH150:AJ150"/>
    <mergeCell ref="AK150:AO150"/>
    <mergeCell ref="AP150:AT150"/>
    <mergeCell ref="D150:H150"/>
    <mergeCell ref="L150:M150"/>
    <mergeCell ref="N150:P150"/>
    <mergeCell ref="Q150:S150"/>
    <mergeCell ref="T150:U150"/>
    <mergeCell ref="V150:Z150"/>
    <mergeCell ref="AH148:AH149"/>
    <mergeCell ref="AI148:AJ148"/>
    <mergeCell ref="AK148:AL148"/>
    <mergeCell ref="AP148:AQ149"/>
    <mergeCell ref="AR148:AT149"/>
    <mergeCell ref="AU148:AU150"/>
    <mergeCell ref="AK149:AL149"/>
    <mergeCell ref="T148:U149"/>
    <mergeCell ref="V148:X148"/>
    <mergeCell ref="Y148:Z148"/>
    <mergeCell ref="AC148:AC149"/>
    <mergeCell ref="AD148:AE148"/>
    <mergeCell ref="AF148:AG148"/>
    <mergeCell ref="AM147:AO149"/>
    <mergeCell ref="AP147:AT147"/>
    <mergeCell ref="B148:B150"/>
    <mergeCell ref="C148:C150"/>
    <mergeCell ref="D148:D149"/>
    <mergeCell ref="E148:E149"/>
    <mergeCell ref="F148:F149"/>
    <mergeCell ref="G148:G149"/>
    <mergeCell ref="H148:H149"/>
    <mergeCell ref="N148:N149"/>
    <mergeCell ref="T147:U147"/>
    <mergeCell ref="V147:Z147"/>
    <mergeCell ref="AC147:AE147"/>
    <mergeCell ref="AF147:AG147"/>
    <mergeCell ref="AH147:AJ147"/>
    <mergeCell ref="AK147:AL147"/>
    <mergeCell ref="A147:A150"/>
    <mergeCell ref="D147:F147"/>
    <mergeCell ref="I147:I149"/>
    <mergeCell ref="J147:J149"/>
    <mergeCell ref="N147:P147"/>
    <mergeCell ref="Q147:S147"/>
    <mergeCell ref="O148:P148"/>
    <mergeCell ref="Q148:Q149"/>
    <mergeCell ref="R148:R149"/>
    <mergeCell ref="S148:S149"/>
    <mergeCell ref="AA140:AB140"/>
    <mergeCell ref="AC140:AE140"/>
    <mergeCell ref="AF140:AG140"/>
    <mergeCell ref="AH140:AJ140"/>
    <mergeCell ref="AK140:AO140"/>
    <mergeCell ref="AP140:AT140"/>
    <mergeCell ref="D140:H140"/>
    <mergeCell ref="L140:M140"/>
    <mergeCell ref="N140:P140"/>
    <mergeCell ref="Q140:S140"/>
    <mergeCell ref="T140:U140"/>
    <mergeCell ref="V140:Z140"/>
    <mergeCell ref="AH138:AH139"/>
    <mergeCell ref="AI138:AJ138"/>
    <mergeCell ref="AK138:AL138"/>
    <mergeCell ref="AP138:AQ139"/>
    <mergeCell ref="AR138:AT139"/>
    <mergeCell ref="AU138:AU140"/>
    <mergeCell ref="AK139:AL139"/>
    <mergeCell ref="T138:U139"/>
    <mergeCell ref="V138:X138"/>
    <mergeCell ref="Y138:Z138"/>
    <mergeCell ref="AC138:AC139"/>
    <mergeCell ref="AD138:AE138"/>
    <mergeCell ref="AF138:AG138"/>
    <mergeCell ref="AM137:AO139"/>
    <mergeCell ref="AP137:AT137"/>
    <mergeCell ref="B138:B140"/>
    <mergeCell ref="C138:C140"/>
    <mergeCell ref="D138:D139"/>
    <mergeCell ref="E138:E139"/>
    <mergeCell ref="F138:F139"/>
    <mergeCell ref="G138:G139"/>
    <mergeCell ref="H138:H139"/>
    <mergeCell ref="N138:N139"/>
    <mergeCell ref="T137:U137"/>
    <mergeCell ref="V137:Z137"/>
    <mergeCell ref="AC137:AE137"/>
    <mergeCell ref="AF137:AG137"/>
    <mergeCell ref="AH137:AJ137"/>
    <mergeCell ref="AK137:AL137"/>
    <mergeCell ref="A137:A140"/>
    <mergeCell ref="D137:F137"/>
    <mergeCell ref="I137:I139"/>
    <mergeCell ref="J137:J139"/>
    <mergeCell ref="N137:P137"/>
    <mergeCell ref="Q137:S137"/>
    <mergeCell ref="O138:P138"/>
    <mergeCell ref="Q138:Q139"/>
    <mergeCell ref="R138:R139"/>
    <mergeCell ref="S138:S139"/>
    <mergeCell ref="AA130:AB130"/>
    <mergeCell ref="AC130:AE130"/>
    <mergeCell ref="AF130:AG130"/>
    <mergeCell ref="AH130:AJ130"/>
    <mergeCell ref="AK130:AO130"/>
    <mergeCell ref="AP130:AT130"/>
    <mergeCell ref="D130:H130"/>
    <mergeCell ref="L130:M130"/>
    <mergeCell ref="N130:P130"/>
    <mergeCell ref="Q130:S130"/>
    <mergeCell ref="T130:U130"/>
    <mergeCell ref="V130:Z130"/>
    <mergeCell ref="AH128:AH129"/>
    <mergeCell ref="AI128:AJ128"/>
    <mergeCell ref="AK128:AL128"/>
    <mergeCell ref="AP128:AQ129"/>
    <mergeCell ref="AR128:AT129"/>
    <mergeCell ref="AU128:AU130"/>
    <mergeCell ref="AK129:AL129"/>
    <mergeCell ref="T128:U129"/>
    <mergeCell ref="V128:X128"/>
    <mergeCell ref="Y128:Z128"/>
    <mergeCell ref="AC128:AC129"/>
    <mergeCell ref="AD128:AE128"/>
    <mergeCell ref="AF128:AG128"/>
    <mergeCell ref="AM127:AO129"/>
    <mergeCell ref="AP127:AT127"/>
    <mergeCell ref="B128:B130"/>
    <mergeCell ref="C128:C130"/>
    <mergeCell ref="D128:D129"/>
    <mergeCell ref="E128:E129"/>
    <mergeCell ref="F128:F129"/>
    <mergeCell ref="G128:G129"/>
    <mergeCell ref="H128:H129"/>
    <mergeCell ref="N128:N129"/>
    <mergeCell ref="T127:U127"/>
    <mergeCell ref="V127:Z127"/>
    <mergeCell ref="AC127:AE127"/>
    <mergeCell ref="AF127:AG127"/>
    <mergeCell ref="AH127:AJ127"/>
    <mergeCell ref="AK127:AL127"/>
    <mergeCell ref="A127:A130"/>
    <mergeCell ref="D127:F127"/>
    <mergeCell ref="I127:I129"/>
    <mergeCell ref="J127:J129"/>
    <mergeCell ref="N127:P127"/>
    <mergeCell ref="Q127:S127"/>
    <mergeCell ref="O128:P128"/>
    <mergeCell ref="Q128:Q129"/>
    <mergeCell ref="R128:R129"/>
    <mergeCell ref="S128:S129"/>
    <mergeCell ref="AA120:AB120"/>
    <mergeCell ref="AC120:AE120"/>
    <mergeCell ref="AF120:AG120"/>
    <mergeCell ref="AH120:AJ120"/>
    <mergeCell ref="AK120:AO120"/>
    <mergeCell ref="AP120:AT120"/>
    <mergeCell ref="D120:H120"/>
    <mergeCell ref="L120:M120"/>
    <mergeCell ref="N120:P120"/>
    <mergeCell ref="Q120:S120"/>
    <mergeCell ref="T120:U120"/>
    <mergeCell ref="V120:Z120"/>
    <mergeCell ref="AH118:AH119"/>
    <mergeCell ref="AI118:AJ118"/>
    <mergeCell ref="AK118:AL118"/>
    <mergeCell ref="AP118:AQ119"/>
    <mergeCell ref="AR118:AT119"/>
    <mergeCell ref="AU118:AU120"/>
    <mergeCell ref="AK119:AL119"/>
    <mergeCell ref="T118:U119"/>
    <mergeCell ref="V118:X118"/>
    <mergeCell ref="Y118:Z118"/>
    <mergeCell ref="AC118:AC119"/>
    <mergeCell ref="AD118:AE118"/>
    <mergeCell ref="AF118:AG118"/>
    <mergeCell ref="AM117:AO119"/>
    <mergeCell ref="AP117:AT117"/>
    <mergeCell ref="B118:B120"/>
    <mergeCell ref="C118:C120"/>
    <mergeCell ref="D118:D119"/>
    <mergeCell ref="E118:E119"/>
    <mergeCell ref="F118:F119"/>
    <mergeCell ref="G118:G119"/>
    <mergeCell ref="H118:H119"/>
    <mergeCell ref="N118:N119"/>
    <mergeCell ref="T117:U117"/>
    <mergeCell ref="V117:Z117"/>
    <mergeCell ref="AC117:AE117"/>
    <mergeCell ref="AF117:AG117"/>
    <mergeCell ref="AH117:AJ117"/>
    <mergeCell ref="AK117:AL117"/>
    <mergeCell ref="A117:A120"/>
    <mergeCell ref="D117:F117"/>
    <mergeCell ref="I117:I119"/>
    <mergeCell ref="J117:J119"/>
    <mergeCell ref="N117:P117"/>
    <mergeCell ref="Q117:S117"/>
    <mergeCell ref="O118:P118"/>
    <mergeCell ref="Q118:Q119"/>
    <mergeCell ref="R118:R119"/>
    <mergeCell ref="S118:S119"/>
    <mergeCell ref="AA110:AB110"/>
    <mergeCell ref="AC110:AE110"/>
    <mergeCell ref="AF110:AG110"/>
    <mergeCell ref="AH110:AJ110"/>
    <mergeCell ref="AK110:AO110"/>
    <mergeCell ref="AP110:AT110"/>
    <mergeCell ref="D110:H110"/>
    <mergeCell ref="L110:M110"/>
    <mergeCell ref="N110:P110"/>
    <mergeCell ref="Q110:S110"/>
    <mergeCell ref="T110:U110"/>
    <mergeCell ref="V110:Z110"/>
    <mergeCell ref="AH108:AH109"/>
    <mergeCell ref="AI108:AJ108"/>
    <mergeCell ref="AK108:AL108"/>
    <mergeCell ref="AP108:AQ109"/>
    <mergeCell ref="AR108:AT109"/>
    <mergeCell ref="AU108:AU110"/>
    <mergeCell ref="AK109:AL109"/>
    <mergeCell ref="T108:U109"/>
    <mergeCell ref="V108:X108"/>
    <mergeCell ref="Y108:Z108"/>
    <mergeCell ref="AC108:AC109"/>
    <mergeCell ref="AD108:AE108"/>
    <mergeCell ref="AF108:AG108"/>
    <mergeCell ref="AM107:AO109"/>
    <mergeCell ref="AP107:AT107"/>
    <mergeCell ref="B108:B110"/>
    <mergeCell ref="C108:C110"/>
    <mergeCell ref="D108:D109"/>
    <mergeCell ref="E108:E109"/>
    <mergeCell ref="F108:F109"/>
    <mergeCell ref="G108:G109"/>
    <mergeCell ref="H108:H109"/>
    <mergeCell ref="N108:N109"/>
    <mergeCell ref="T107:U107"/>
    <mergeCell ref="V107:Z107"/>
    <mergeCell ref="AC107:AE107"/>
    <mergeCell ref="AF107:AG107"/>
    <mergeCell ref="AH107:AJ107"/>
    <mergeCell ref="AK107:AL107"/>
    <mergeCell ref="A107:A110"/>
    <mergeCell ref="D107:F107"/>
    <mergeCell ref="I107:I109"/>
    <mergeCell ref="J107:J109"/>
    <mergeCell ref="N107:P107"/>
    <mergeCell ref="Q107:S107"/>
    <mergeCell ref="O108:P108"/>
    <mergeCell ref="Q108:Q109"/>
    <mergeCell ref="R108:R109"/>
    <mergeCell ref="S108:S109"/>
    <mergeCell ref="AA100:AB100"/>
    <mergeCell ref="AC100:AE100"/>
    <mergeCell ref="AF100:AG100"/>
    <mergeCell ref="AH100:AJ100"/>
    <mergeCell ref="AK100:AO100"/>
    <mergeCell ref="AP100:AT100"/>
    <mergeCell ref="D100:H100"/>
    <mergeCell ref="L100:M100"/>
    <mergeCell ref="N100:P100"/>
    <mergeCell ref="Q100:S100"/>
    <mergeCell ref="T100:U100"/>
    <mergeCell ref="V100:Z100"/>
    <mergeCell ref="AH98:AH99"/>
    <mergeCell ref="AI98:AJ98"/>
    <mergeCell ref="AK98:AL98"/>
    <mergeCell ref="AP98:AQ99"/>
    <mergeCell ref="AR98:AT99"/>
    <mergeCell ref="AU98:AU100"/>
    <mergeCell ref="AK99:AL99"/>
    <mergeCell ref="T98:U99"/>
    <mergeCell ref="V98:X98"/>
    <mergeCell ref="Y98:Z98"/>
    <mergeCell ref="AC98:AC99"/>
    <mergeCell ref="AD98:AE98"/>
    <mergeCell ref="AF98:AG98"/>
    <mergeCell ref="AM97:AO99"/>
    <mergeCell ref="AP97:AT97"/>
    <mergeCell ref="B98:B100"/>
    <mergeCell ref="C98:C100"/>
    <mergeCell ref="D98:D99"/>
    <mergeCell ref="E98:E99"/>
    <mergeCell ref="F98:F99"/>
    <mergeCell ref="G98:G99"/>
    <mergeCell ref="H98:H99"/>
    <mergeCell ref="N98:N99"/>
    <mergeCell ref="T97:U97"/>
    <mergeCell ref="V97:Z97"/>
    <mergeCell ref="AC97:AE97"/>
    <mergeCell ref="AF97:AG97"/>
    <mergeCell ref="AH97:AJ97"/>
    <mergeCell ref="AK97:AL97"/>
    <mergeCell ref="A97:A100"/>
    <mergeCell ref="D97:F97"/>
    <mergeCell ref="I97:I99"/>
    <mergeCell ref="J97:J99"/>
    <mergeCell ref="N97:P97"/>
    <mergeCell ref="Q97:S97"/>
    <mergeCell ref="O98:P98"/>
    <mergeCell ref="Q98:Q99"/>
    <mergeCell ref="R98:R99"/>
    <mergeCell ref="S98:S99"/>
    <mergeCell ref="AA90:AB90"/>
    <mergeCell ref="AC90:AE90"/>
    <mergeCell ref="AF90:AG90"/>
    <mergeCell ref="AH90:AJ90"/>
    <mergeCell ref="AK90:AO90"/>
    <mergeCell ref="AP90:AT90"/>
    <mergeCell ref="D90:H90"/>
    <mergeCell ref="L90:M90"/>
    <mergeCell ref="N90:P90"/>
    <mergeCell ref="Q90:S90"/>
    <mergeCell ref="T90:U90"/>
    <mergeCell ref="V90:Z90"/>
    <mergeCell ref="AH88:AH89"/>
    <mergeCell ref="AI88:AJ88"/>
    <mergeCell ref="AK88:AL88"/>
    <mergeCell ref="AP88:AQ89"/>
    <mergeCell ref="AR88:AT89"/>
    <mergeCell ref="AU88:AU90"/>
    <mergeCell ref="AK89:AL89"/>
    <mergeCell ref="T88:U89"/>
    <mergeCell ref="V88:X88"/>
    <mergeCell ref="Y88:Z88"/>
    <mergeCell ref="AC88:AC89"/>
    <mergeCell ref="AD88:AE88"/>
    <mergeCell ref="AF88:AG88"/>
    <mergeCell ref="AM87:AO89"/>
    <mergeCell ref="AP87:AT87"/>
    <mergeCell ref="B88:B90"/>
    <mergeCell ref="C88:C90"/>
    <mergeCell ref="D88:D89"/>
    <mergeCell ref="E88:E89"/>
    <mergeCell ref="F88:F89"/>
    <mergeCell ref="G88:G89"/>
    <mergeCell ref="H88:H89"/>
    <mergeCell ref="N88:N89"/>
    <mergeCell ref="T87:U87"/>
    <mergeCell ref="V87:Z87"/>
    <mergeCell ref="AC87:AE87"/>
    <mergeCell ref="AF87:AG87"/>
    <mergeCell ref="AH87:AJ87"/>
    <mergeCell ref="AK87:AL87"/>
    <mergeCell ref="A87:A90"/>
    <mergeCell ref="D87:F87"/>
    <mergeCell ref="I87:I89"/>
    <mergeCell ref="J87:J89"/>
    <mergeCell ref="N87:P87"/>
    <mergeCell ref="Q87:S87"/>
    <mergeCell ref="O88:P88"/>
    <mergeCell ref="Q88:Q89"/>
    <mergeCell ref="R88:R89"/>
    <mergeCell ref="S88:S89"/>
    <mergeCell ref="AA74:AB74"/>
    <mergeCell ref="AC74:AE74"/>
    <mergeCell ref="AF74:AG74"/>
    <mergeCell ref="AH74:AJ74"/>
    <mergeCell ref="AK74:AO74"/>
    <mergeCell ref="AP74:AT74"/>
    <mergeCell ref="D74:H74"/>
    <mergeCell ref="L74:M74"/>
    <mergeCell ref="N74:P74"/>
    <mergeCell ref="Q74:S74"/>
    <mergeCell ref="T74:U74"/>
    <mergeCell ref="V74:Z74"/>
    <mergeCell ref="AH72:AH73"/>
    <mergeCell ref="AI72:AJ72"/>
    <mergeCell ref="AK72:AL72"/>
    <mergeCell ref="AP72:AQ73"/>
    <mergeCell ref="AR72:AT73"/>
    <mergeCell ref="AU72:AU74"/>
    <mergeCell ref="AK73:AL73"/>
    <mergeCell ref="T72:U73"/>
    <mergeCell ref="V72:X72"/>
    <mergeCell ref="Y72:Z72"/>
    <mergeCell ref="AC72:AC73"/>
    <mergeCell ref="AD72:AE72"/>
    <mergeCell ref="AF72:AG72"/>
    <mergeCell ref="AM71:AO73"/>
    <mergeCell ref="AP71:AT71"/>
    <mergeCell ref="B72:B74"/>
    <mergeCell ref="C72:C74"/>
    <mergeCell ref="D72:D73"/>
    <mergeCell ref="E72:E73"/>
    <mergeCell ref="F72:F73"/>
    <mergeCell ref="G72:G73"/>
    <mergeCell ref="H72:H73"/>
    <mergeCell ref="N72:N73"/>
    <mergeCell ref="T71:U71"/>
    <mergeCell ref="V71:Z71"/>
    <mergeCell ref="AC71:AE71"/>
    <mergeCell ref="AF71:AG71"/>
    <mergeCell ref="AH71:AJ71"/>
    <mergeCell ref="AK71:AL71"/>
    <mergeCell ref="A71:A74"/>
    <mergeCell ref="D71:F71"/>
    <mergeCell ref="I71:I73"/>
    <mergeCell ref="J71:J73"/>
    <mergeCell ref="N71:P71"/>
    <mergeCell ref="Q71:S71"/>
    <mergeCell ref="O72:P72"/>
    <mergeCell ref="Q72:Q73"/>
    <mergeCell ref="R72:R73"/>
    <mergeCell ref="S72:S73"/>
    <mergeCell ref="AA58:AB58"/>
    <mergeCell ref="AC58:AE58"/>
    <mergeCell ref="AF58:AG58"/>
    <mergeCell ref="AH58:AJ58"/>
    <mergeCell ref="AK58:AO58"/>
    <mergeCell ref="AP58:AT58"/>
    <mergeCell ref="D58:H58"/>
    <mergeCell ref="L58:M58"/>
    <mergeCell ref="N58:P58"/>
    <mergeCell ref="Q58:S58"/>
    <mergeCell ref="T58:U58"/>
    <mergeCell ref="V58:Z58"/>
    <mergeCell ref="AH56:AH57"/>
    <mergeCell ref="AI56:AJ56"/>
    <mergeCell ref="AK56:AL56"/>
    <mergeCell ref="AP56:AQ57"/>
    <mergeCell ref="AR56:AT57"/>
    <mergeCell ref="AU56:AU58"/>
    <mergeCell ref="AK57:AL57"/>
    <mergeCell ref="T56:U57"/>
    <mergeCell ref="V56:X56"/>
    <mergeCell ref="Y56:Z56"/>
    <mergeCell ref="AC56:AC57"/>
    <mergeCell ref="AD56:AE56"/>
    <mergeCell ref="AF56:AG56"/>
    <mergeCell ref="AM55:AO57"/>
    <mergeCell ref="AP55:AT55"/>
    <mergeCell ref="B56:B58"/>
    <mergeCell ref="C56:C58"/>
    <mergeCell ref="D56:D57"/>
    <mergeCell ref="E56:E57"/>
    <mergeCell ref="F56:F57"/>
    <mergeCell ref="G56:G57"/>
    <mergeCell ref="H56:H57"/>
    <mergeCell ref="N56:N57"/>
    <mergeCell ref="T55:U55"/>
    <mergeCell ref="V55:Z55"/>
    <mergeCell ref="AC55:AE55"/>
    <mergeCell ref="AF55:AG55"/>
    <mergeCell ref="AH55:AJ55"/>
    <mergeCell ref="AK55:AL55"/>
    <mergeCell ref="A55:A58"/>
    <mergeCell ref="D55:F55"/>
    <mergeCell ref="I55:I57"/>
    <mergeCell ref="J55:J57"/>
    <mergeCell ref="N55:P55"/>
    <mergeCell ref="Q55:S55"/>
    <mergeCell ref="O56:P56"/>
    <mergeCell ref="Q56:Q57"/>
    <mergeCell ref="R56:R57"/>
    <mergeCell ref="S56:S57"/>
    <mergeCell ref="AA42:AB42"/>
    <mergeCell ref="AC42:AE42"/>
    <mergeCell ref="AF42:AG42"/>
    <mergeCell ref="AH42:AJ42"/>
    <mergeCell ref="AK42:AO42"/>
    <mergeCell ref="AP42:AT42"/>
    <mergeCell ref="D42:H42"/>
    <mergeCell ref="L42:M42"/>
    <mergeCell ref="N42:P42"/>
    <mergeCell ref="Q42:S42"/>
    <mergeCell ref="T42:U42"/>
    <mergeCell ref="V42:Z42"/>
    <mergeCell ref="AH40:AH41"/>
    <mergeCell ref="AI40:AJ40"/>
    <mergeCell ref="AK40:AL40"/>
    <mergeCell ref="AP40:AQ41"/>
    <mergeCell ref="AR40:AT41"/>
    <mergeCell ref="AU40:AU42"/>
    <mergeCell ref="AK41:AL41"/>
    <mergeCell ref="T40:U41"/>
    <mergeCell ref="V40:X40"/>
    <mergeCell ref="Y40:Z40"/>
    <mergeCell ref="AC40:AC41"/>
    <mergeCell ref="AD40:AE40"/>
    <mergeCell ref="AF40:AG40"/>
    <mergeCell ref="AM39:AO41"/>
    <mergeCell ref="AP39:AT39"/>
    <mergeCell ref="B40:B42"/>
    <mergeCell ref="C40:C42"/>
    <mergeCell ref="D40:D41"/>
    <mergeCell ref="E40:E41"/>
    <mergeCell ref="F40:F41"/>
    <mergeCell ref="G40:G41"/>
    <mergeCell ref="H40:H41"/>
    <mergeCell ref="N40:N41"/>
    <mergeCell ref="T39:U39"/>
    <mergeCell ref="V39:Z39"/>
    <mergeCell ref="AC39:AE39"/>
    <mergeCell ref="AF39:AG39"/>
    <mergeCell ref="AH39:AJ39"/>
    <mergeCell ref="AK39:AL39"/>
    <mergeCell ref="A39:A42"/>
    <mergeCell ref="D39:F39"/>
    <mergeCell ref="I39:I41"/>
    <mergeCell ref="J39:J41"/>
    <mergeCell ref="N39:P39"/>
    <mergeCell ref="Q39:S39"/>
    <mergeCell ref="O40:P40"/>
    <mergeCell ref="Q40:Q41"/>
    <mergeCell ref="R40:R41"/>
    <mergeCell ref="S40:S41"/>
    <mergeCell ref="AA25:AB25"/>
    <mergeCell ref="AC25:AE25"/>
    <mergeCell ref="AF25:AG25"/>
    <mergeCell ref="AH25:AJ25"/>
    <mergeCell ref="AK25:AO25"/>
    <mergeCell ref="AP25:AT25"/>
    <mergeCell ref="D25:H25"/>
    <mergeCell ref="L25:M25"/>
    <mergeCell ref="N25:P25"/>
    <mergeCell ref="Q25:S25"/>
    <mergeCell ref="T25:U25"/>
    <mergeCell ref="V25:Z25"/>
    <mergeCell ref="AH23:AH24"/>
    <mergeCell ref="AI23:AJ23"/>
    <mergeCell ref="AK23:AL23"/>
    <mergeCell ref="AP23:AQ24"/>
    <mergeCell ref="AR23:AT24"/>
    <mergeCell ref="AU23:AU25"/>
    <mergeCell ref="AK24:AL24"/>
    <mergeCell ref="T23:U24"/>
    <mergeCell ref="V23:X23"/>
    <mergeCell ref="Y23:Z23"/>
    <mergeCell ref="AC23:AC24"/>
    <mergeCell ref="AD23:AE23"/>
    <mergeCell ref="AF23:AG23"/>
    <mergeCell ref="AM22:AO24"/>
    <mergeCell ref="AP22:AT22"/>
    <mergeCell ref="B23:B25"/>
    <mergeCell ref="C23:C25"/>
    <mergeCell ref="D23:D24"/>
    <mergeCell ref="E23:E24"/>
    <mergeCell ref="F23:F24"/>
    <mergeCell ref="G23:G24"/>
    <mergeCell ref="H23:H24"/>
    <mergeCell ref="N23:N24"/>
    <mergeCell ref="T22:U22"/>
    <mergeCell ref="V22:Z22"/>
    <mergeCell ref="AC22:AE22"/>
    <mergeCell ref="AF22:AG22"/>
    <mergeCell ref="AH22:AJ22"/>
    <mergeCell ref="AK22:AL22"/>
    <mergeCell ref="A22:A25"/>
    <mergeCell ref="D22:F22"/>
    <mergeCell ref="I22:I24"/>
    <mergeCell ref="J22:J24"/>
    <mergeCell ref="N22:P22"/>
    <mergeCell ref="Q22:S22"/>
    <mergeCell ref="O23:P23"/>
    <mergeCell ref="Q23:Q24"/>
    <mergeCell ref="R23:R24"/>
    <mergeCell ref="S23:S24"/>
    <mergeCell ref="AA9:AB9"/>
    <mergeCell ref="AC9:AE9"/>
    <mergeCell ref="AF9:AG9"/>
    <mergeCell ref="AH9:AJ9"/>
    <mergeCell ref="AK9:AO9"/>
    <mergeCell ref="AP9:AT9"/>
    <mergeCell ref="D9:H9"/>
    <mergeCell ref="L9:M9"/>
    <mergeCell ref="N9:P9"/>
    <mergeCell ref="Q9:S9"/>
    <mergeCell ref="T9:U9"/>
    <mergeCell ref="V9:Z9"/>
    <mergeCell ref="AH7:AH8"/>
    <mergeCell ref="AI7:AJ7"/>
    <mergeCell ref="AK7:AL7"/>
    <mergeCell ref="AP7:AQ8"/>
    <mergeCell ref="AR7:AT8"/>
    <mergeCell ref="AU7:AU9"/>
    <mergeCell ref="AK8:AL8"/>
    <mergeCell ref="T7:U8"/>
    <mergeCell ref="V7:X7"/>
    <mergeCell ref="Y7:Z7"/>
    <mergeCell ref="AC7:AC8"/>
    <mergeCell ref="AD7:AE7"/>
    <mergeCell ref="AF7:AG7"/>
    <mergeCell ref="AM6:AO8"/>
    <mergeCell ref="AP6:AT6"/>
    <mergeCell ref="B7:B9"/>
    <mergeCell ref="C7:C9"/>
    <mergeCell ref="D7:D8"/>
    <mergeCell ref="E7:E8"/>
    <mergeCell ref="F7:F8"/>
    <mergeCell ref="G7:G8"/>
    <mergeCell ref="H7:H8"/>
    <mergeCell ref="N7:N8"/>
    <mergeCell ref="T6:U6"/>
    <mergeCell ref="V6:Z6"/>
    <mergeCell ref="AC6:AE6"/>
    <mergeCell ref="AF6:AG6"/>
    <mergeCell ref="AH6:AJ6"/>
    <mergeCell ref="AK6:AL6"/>
    <mergeCell ref="A6:A9"/>
    <mergeCell ref="D6:F6"/>
    <mergeCell ref="I6:I8"/>
    <mergeCell ref="J6:J8"/>
    <mergeCell ref="N6:P6"/>
    <mergeCell ref="Q6:S6"/>
    <mergeCell ref="O7:P7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activeCell="C14" sqref="C14"/>
    </sheetView>
  </sheetViews>
  <sheetFormatPr defaultRowHeight="15"/>
  <cols>
    <col min="3" max="3" width="65.85546875" customWidth="1"/>
    <col min="4" max="4" width="11" customWidth="1"/>
    <col min="5" max="5" width="14.85546875" customWidth="1"/>
    <col min="6" max="6" width="17.5703125" customWidth="1"/>
    <col min="7" max="7" width="32" customWidth="1"/>
    <col min="8" max="8" width="18.42578125" customWidth="1"/>
    <col min="10" max="10" width="4.85546875" style="275" customWidth="1"/>
    <col min="11" max="11" width="32.140625" customWidth="1"/>
    <col min="12" max="12" width="9.140625" style="275"/>
    <col min="13" max="13" width="25.28515625" customWidth="1"/>
  </cols>
  <sheetData>
    <row r="1" spans="1:13" ht="15.75" thickBot="1">
      <c r="A1" s="274"/>
    </row>
    <row r="2" spans="1:13" ht="24" thickBot="1">
      <c r="B2" s="658" t="s">
        <v>628</v>
      </c>
      <c r="C2" s="659"/>
      <c r="D2" s="659"/>
      <c r="E2" s="659"/>
      <c r="F2" s="659"/>
      <c r="G2" s="659"/>
    </row>
    <row r="3" spans="1:13">
      <c r="B3" t="s">
        <v>629</v>
      </c>
      <c r="C3" t="s">
        <v>630</v>
      </c>
    </row>
    <row r="5" spans="1:13">
      <c r="B5" s="276" t="s">
        <v>53</v>
      </c>
      <c r="C5" s="276" t="s">
        <v>605</v>
      </c>
      <c r="D5" s="276" t="s">
        <v>334</v>
      </c>
      <c r="E5" s="276" t="s">
        <v>335</v>
      </c>
      <c r="F5" s="276" t="s">
        <v>631</v>
      </c>
      <c r="G5" s="276" t="s">
        <v>632</v>
      </c>
      <c r="J5" s="660" t="s">
        <v>633</v>
      </c>
      <c r="K5" s="661"/>
      <c r="L5" s="661"/>
      <c r="M5" s="662"/>
    </row>
    <row r="6" spans="1:13">
      <c r="B6" s="277">
        <v>1</v>
      </c>
      <c r="C6" s="278" t="s">
        <v>634</v>
      </c>
      <c r="D6" s="277" t="s">
        <v>290</v>
      </c>
      <c r="E6" s="278" t="s">
        <v>635</v>
      </c>
      <c r="F6" s="277" t="s">
        <v>636</v>
      </c>
      <c r="G6" s="278" t="s">
        <v>637</v>
      </c>
      <c r="J6" s="663"/>
      <c r="K6" s="664"/>
      <c r="L6" s="664"/>
      <c r="M6" s="665"/>
    </row>
    <row r="7" spans="1:13">
      <c r="B7" s="277">
        <v>2</v>
      </c>
      <c r="C7" s="278" t="s">
        <v>638</v>
      </c>
      <c r="D7" s="277" t="s">
        <v>290</v>
      </c>
      <c r="E7" s="278" t="s">
        <v>635</v>
      </c>
      <c r="F7" s="277" t="s">
        <v>636</v>
      </c>
      <c r="G7" s="278" t="s">
        <v>637</v>
      </c>
      <c r="J7" s="279" t="s">
        <v>53</v>
      </c>
      <c r="K7" s="279" t="s">
        <v>605</v>
      </c>
      <c r="L7" s="279" t="s">
        <v>334</v>
      </c>
      <c r="M7" s="279" t="s">
        <v>639</v>
      </c>
    </row>
    <row r="8" spans="1:13">
      <c r="B8" s="277">
        <v>3</v>
      </c>
      <c r="C8" s="278" t="s">
        <v>640</v>
      </c>
      <c r="D8" s="277" t="s">
        <v>290</v>
      </c>
      <c r="E8" s="278" t="s">
        <v>635</v>
      </c>
      <c r="F8" s="277" t="s">
        <v>636</v>
      </c>
      <c r="G8" s="278" t="s">
        <v>637</v>
      </c>
      <c r="J8" s="280">
        <v>1</v>
      </c>
      <c r="K8" s="278" t="s">
        <v>641</v>
      </c>
      <c r="L8" s="280" t="s">
        <v>642</v>
      </c>
      <c r="M8" s="281">
        <v>71000</v>
      </c>
    </row>
    <row r="9" spans="1:13">
      <c r="B9" s="277">
        <v>4</v>
      </c>
      <c r="C9" s="278" t="s">
        <v>643</v>
      </c>
      <c r="D9" s="277" t="s">
        <v>290</v>
      </c>
      <c r="E9" s="282">
        <v>2500</v>
      </c>
      <c r="F9" s="277" t="s">
        <v>636</v>
      </c>
      <c r="G9" s="277" t="s">
        <v>644</v>
      </c>
      <c r="J9" s="280">
        <v>2</v>
      </c>
      <c r="K9" s="278" t="s">
        <v>645</v>
      </c>
      <c r="L9" s="280" t="s">
        <v>642</v>
      </c>
      <c r="M9" s="281">
        <v>90000</v>
      </c>
    </row>
    <row r="10" spans="1:13">
      <c r="B10" s="277">
        <v>5</v>
      </c>
      <c r="C10" s="278" t="s">
        <v>564</v>
      </c>
      <c r="D10" s="277" t="s">
        <v>7</v>
      </c>
      <c r="E10" s="277" t="s">
        <v>646</v>
      </c>
      <c r="F10" s="277" t="s">
        <v>647</v>
      </c>
      <c r="G10" s="277" t="s">
        <v>644</v>
      </c>
      <c r="J10" s="280">
        <v>3</v>
      </c>
      <c r="K10" s="278" t="s">
        <v>648</v>
      </c>
      <c r="L10" s="280" t="s">
        <v>642</v>
      </c>
      <c r="M10" s="281">
        <v>99000</v>
      </c>
    </row>
    <row r="11" spans="1:13">
      <c r="B11" s="277">
        <v>6</v>
      </c>
      <c r="C11" s="278" t="s">
        <v>649</v>
      </c>
      <c r="D11" s="277" t="s">
        <v>7</v>
      </c>
      <c r="E11" s="282">
        <v>1200</v>
      </c>
      <c r="F11" s="277" t="s">
        <v>647</v>
      </c>
      <c r="G11" s="277" t="s">
        <v>644</v>
      </c>
      <c r="J11" s="280">
        <v>4</v>
      </c>
      <c r="K11" s="278" t="s">
        <v>650</v>
      </c>
      <c r="L11" s="280" t="s">
        <v>642</v>
      </c>
      <c r="M11" s="281">
        <v>102000</v>
      </c>
    </row>
    <row r="12" spans="1:13">
      <c r="B12" s="277">
        <v>7</v>
      </c>
      <c r="C12" s="278" t="s">
        <v>651</v>
      </c>
      <c r="D12" s="277" t="s">
        <v>7</v>
      </c>
      <c r="E12" s="282">
        <v>47700</v>
      </c>
      <c r="F12" s="277" t="s">
        <v>647</v>
      </c>
      <c r="G12" s="277" t="s">
        <v>652</v>
      </c>
      <c r="J12" s="280">
        <v>5</v>
      </c>
      <c r="K12" s="278" t="s">
        <v>653</v>
      </c>
      <c r="L12" s="280" t="s">
        <v>642</v>
      </c>
      <c r="M12" s="281">
        <v>79000</v>
      </c>
    </row>
    <row r="13" spans="1:13">
      <c r="B13" s="277">
        <v>8</v>
      </c>
      <c r="C13" s="278" t="s">
        <v>654</v>
      </c>
      <c r="D13" s="277" t="s">
        <v>7</v>
      </c>
      <c r="E13" s="282">
        <v>55000</v>
      </c>
      <c r="F13" s="277" t="s">
        <v>647</v>
      </c>
      <c r="G13" s="277" t="s">
        <v>652</v>
      </c>
      <c r="J13" s="280">
        <v>6</v>
      </c>
      <c r="K13" s="278" t="s">
        <v>655</v>
      </c>
      <c r="L13" s="280" t="s">
        <v>642</v>
      </c>
      <c r="M13" s="281">
        <v>90000</v>
      </c>
    </row>
    <row r="14" spans="1:13">
      <c r="B14" s="277">
        <v>9</v>
      </c>
      <c r="C14" s="278" t="s">
        <v>656</v>
      </c>
      <c r="D14" s="277" t="s">
        <v>7</v>
      </c>
      <c r="E14" s="282">
        <v>70000</v>
      </c>
      <c r="F14" s="277" t="s">
        <v>647</v>
      </c>
      <c r="G14" s="277" t="s">
        <v>652</v>
      </c>
      <c r="J14" s="280">
        <v>7</v>
      </c>
      <c r="K14" s="278" t="s">
        <v>657</v>
      </c>
      <c r="L14" s="280" t="s">
        <v>642</v>
      </c>
      <c r="M14" s="281">
        <v>68000</v>
      </c>
    </row>
    <row r="15" spans="1:13">
      <c r="B15" s="277">
        <v>10</v>
      </c>
      <c r="C15" s="278" t="s">
        <v>658</v>
      </c>
      <c r="D15" s="277" t="s">
        <v>659</v>
      </c>
      <c r="E15" s="282">
        <v>147000</v>
      </c>
      <c r="F15" s="277" t="s">
        <v>647</v>
      </c>
      <c r="G15" s="277" t="s">
        <v>652</v>
      </c>
      <c r="J15" s="280">
        <v>8</v>
      </c>
      <c r="K15" s="278" t="s">
        <v>660</v>
      </c>
      <c r="L15" s="280" t="s">
        <v>642</v>
      </c>
      <c r="M15" s="281">
        <v>90000</v>
      </c>
    </row>
    <row r="16" spans="1:13">
      <c r="B16" s="277">
        <v>11</v>
      </c>
      <c r="C16" s="278" t="s">
        <v>661</v>
      </c>
      <c r="D16" s="277" t="s">
        <v>659</v>
      </c>
      <c r="E16" s="282">
        <v>147000</v>
      </c>
      <c r="F16" s="277" t="s">
        <v>647</v>
      </c>
      <c r="G16" s="277" t="s">
        <v>652</v>
      </c>
      <c r="J16" s="280">
        <v>9</v>
      </c>
      <c r="K16" s="278" t="s">
        <v>662</v>
      </c>
      <c r="L16" s="280" t="s">
        <v>642</v>
      </c>
      <c r="M16" s="281">
        <v>68000</v>
      </c>
    </row>
    <row r="17" spans="2:13">
      <c r="B17" s="277">
        <v>12</v>
      </c>
      <c r="C17" s="278" t="s">
        <v>663</v>
      </c>
      <c r="D17" s="277" t="s">
        <v>659</v>
      </c>
      <c r="E17" s="282">
        <v>251600</v>
      </c>
      <c r="F17" s="277" t="s">
        <v>647</v>
      </c>
      <c r="G17" s="277" t="s">
        <v>652</v>
      </c>
      <c r="J17" s="280">
        <v>10</v>
      </c>
      <c r="K17" s="278" t="s">
        <v>664</v>
      </c>
      <c r="L17" s="280" t="s">
        <v>642</v>
      </c>
      <c r="M17" s="281">
        <v>99000</v>
      </c>
    </row>
    <row r="18" spans="2:13">
      <c r="B18" s="277">
        <v>13</v>
      </c>
      <c r="C18" s="278" t="s">
        <v>665</v>
      </c>
      <c r="D18" s="277" t="s">
        <v>659</v>
      </c>
      <c r="E18" s="282">
        <v>258400</v>
      </c>
      <c r="F18" s="277" t="s">
        <v>647</v>
      </c>
      <c r="G18" s="277" t="s">
        <v>652</v>
      </c>
      <c r="J18" s="280">
        <v>11</v>
      </c>
      <c r="K18" s="278" t="s">
        <v>666</v>
      </c>
      <c r="L18" s="280" t="s">
        <v>642</v>
      </c>
      <c r="M18" s="281">
        <v>80000</v>
      </c>
    </row>
    <row r="19" spans="2:13">
      <c r="B19" s="277">
        <v>14</v>
      </c>
      <c r="C19" s="278" t="s">
        <v>667</v>
      </c>
      <c r="D19" s="277" t="s">
        <v>659</v>
      </c>
      <c r="E19" s="282">
        <v>258400</v>
      </c>
      <c r="F19" s="277" t="s">
        <v>647</v>
      </c>
      <c r="G19" s="277" t="s">
        <v>652</v>
      </c>
      <c r="J19" s="280">
        <v>12</v>
      </c>
      <c r="K19" s="278" t="s">
        <v>668</v>
      </c>
      <c r="L19" s="280" t="s">
        <v>642</v>
      </c>
      <c r="M19" s="281">
        <v>80000</v>
      </c>
    </row>
    <row r="20" spans="2:13">
      <c r="B20" s="277">
        <v>15</v>
      </c>
      <c r="C20" s="278" t="s">
        <v>669</v>
      </c>
      <c r="D20" s="277" t="s">
        <v>670</v>
      </c>
      <c r="E20" s="282">
        <v>385500</v>
      </c>
      <c r="F20" s="277" t="s">
        <v>647</v>
      </c>
      <c r="G20" s="277" t="s">
        <v>652</v>
      </c>
      <c r="J20" s="280">
        <v>13</v>
      </c>
      <c r="K20" s="278" t="s">
        <v>671</v>
      </c>
      <c r="L20" s="280" t="s">
        <v>642</v>
      </c>
      <c r="M20" s="281">
        <v>80000</v>
      </c>
    </row>
    <row r="21" spans="2:13">
      <c r="B21" s="277">
        <v>16</v>
      </c>
      <c r="C21" s="278" t="s">
        <v>672</v>
      </c>
      <c r="D21" s="277" t="s">
        <v>670</v>
      </c>
      <c r="E21" s="282">
        <v>650000</v>
      </c>
      <c r="F21" s="277" t="s">
        <v>647</v>
      </c>
      <c r="G21" s="277" t="s">
        <v>652</v>
      </c>
      <c r="J21" s="280">
        <v>14</v>
      </c>
      <c r="K21" s="278" t="s">
        <v>673</v>
      </c>
      <c r="L21" s="280" t="s">
        <v>642</v>
      </c>
      <c r="M21" s="281">
        <v>80000</v>
      </c>
    </row>
    <row r="22" spans="2:13">
      <c r="B22" s="277">
        <v>17</v>
      </c>
      <c r="C22" s="278" t="s">
        <v>674</v>
      </c>
      <c r="D22" s="277" t="s">
        <v>670</v>
      </c>
      <c r="E22" s="282">
        <v>850000</v>
      </c>
      <c r="F22" s="277" t="s">
        <v>647</v>
      </c>
      <c r="G22" s="277" t="s">
        <v>652</v>
      </c>
      <c r="J22" s="280">
        <v>15</v>
      </c>
      <c r="K22" s="278" t="s">
        <v>675</v>
      </c>
      <c r="L22" s="280" t="s">
        <v>642</v>
      </c>
      <c r="M22" s="281">
        <v>80000</v>
      </c>
    </row>
    <row r="23" spans="2:13">
      <c r="B23" s="277">
        <v>18</v>
      </c>
      <c r="C23" s="278" t="s">
        <v>676</v>
      </c>
      <c r="D23" s="277" t="s">
        <v>659</v>
      </c>
      <c r="E23" s="282">
        <v>1700000</v>
      </c>
      <c r="F23" s="277" t="s">
        <v>647</v>
      </c>
      <c r="G23" s="277" t="s">
        <v>652</v>
      </c>
      <c r="J23" s="280"/>
      <c r="K23" s="278"/>
      <c r="L23" s="280"/>
      <c r="M23" s="278"/>
    </row>
    <row r="24" spans="2:13">
      <c r="B24" s="277">
        <v>19</v>
      </c>
      <c r="C24" s="278" t="s">
        <v>677</v>
      </c>
      <c r="D24" s="277" t="s">
        <v>659</v>
      </c>
      <c r="E24" s="282">
        <v>1200000</v>
      </c>
      <c r="F24" s="277" t="s">
        <v>647</v>
      </c>
      <c r="G24" s="277" t="s">
        <v>652</v>
      </c>
    </row>
    <row r="25" spans="2:13">
      <c r="B25" s="277">
        <v>20</v>
      </c>
      <c r="C25" s="278" t="s">
        <v>678</v>
      </c>
      <c r="D25" s="277" t="s">
        <v>7</v>
      </c>
      <c r="E25" s="282">
        <v>15000</v>
      </c>
      <c r="F25" s="277" t="s">
        <v>647</v>
      </c>
      <c r="G25" s="277" t="s">
        <v>652</v>
      </c>
    </row>
    <row r="26" spans="2:13">
      <c r="B26" s="277">
        <v>21</v>
      </c>
      <c r="C26" s="278" t="s">
        <v>679</v>
      </c>
      <c r="D26" s="277" t="s">
        <v>7</v>
      </c>
      <c r="E26" s="282">
        <v>1200</v>
      </c>
      <c r="F26" s="277" t="s">
        <v>647</v>
      </c>
      <c r="G26" s="277" t="s">
        <v>644</v>
      </c>
    </row>
    <row r="27" spans="2:13">
      <c r="B27" s="277">
        <v>22</v>
      </c>
      <c r="C27" s="278" t="s">
        <v>680</v>
      </c>
      <c r="D27" s="277" t="s">
        <v>659</v>
      </c>
      <c r="E27" s="282">
        <v>70000</v>
      </c>
      <c r="F27" s="277" t="s">
        <v>681</v>
      </c>
      <c r="G27" s="277" t="s">
        <v>652</v>
      </c>
    </row>
    <row r="28" spans="2:13">
      <c r="B28" s="277">
        <v>23</v>
      </c>
      <c r="C28" s="278" t="s">
        <v>682</v>
      </c>
      <c r="D28" s="277" t="s">
        <v>659</v>
      </c>
      <c r="E28" s="282">
        <v>135000</v>
      </c>
      <c r="F28" s="277" t="s">
        <v>681</v>
      </c>
      <c r="G28" s="277" t="s">
        <v>652</v>
      </c>
    </row>
    <row r="29" spans="2:13">
      <c r="B29" s="277">
        <v>24</v>
      </c>
      <c r="C29" s="278" t="s">
        <v>683</v>
      </c>
      <c r="D29" s="277" t="s">
        <v>659</v>
      </c>
      <c r="E29" s="282">
        <v>135000</v>
      </c>
      <c r="F29" s="277" t="s">
        <v>681</v>
      </c>
      <c r="G29" s="277" t="s">
        <v>652</v>
      </c>
    </row>
    <row r="30" spans="2:13">
      <c r="B30" s="277">
        <v>25</v>
      </c>
      <c r="C30" s="278" t="s">
        <v>443</v>
      </c>
      <c r="D30" s="277" t="s">
        <v>659</v>
      </c>
      <c r="E30" s="282">
        <v>109800</v>
      </c>
      <c r="F30" s="277" t="s">
        <v>681</v>
      </c>
      <c r="G30" s="277" t="s">
        <v>652</v>
      </c>
    </row>
    <row r="31" spans="2:13">
      <c r="B31" s="277">
        <v>26</v>
      </c>
      <c r="C31" s="278" t="s">
        <v>684</v>
      </c>
      <c r="D31" s="277" t="s">
        <v>685</v>
      </c>
      <c r="E31" s="282">
        <v>17000</v>
      </c>
      <c r="F31" s="277" t="s">
        <v>686</v>
      </c>
      <c r="G31" s="277" t="s">
        <v>652</v>
      </c>
    </row>
    <row r="32" spans="2:13">
      <c r="B32" s="277">
        <v>27</v>
      </c>
      <c r="C32" s="278" t="s">
        <v>687</v>
      </c>
      <c r="D32" s="277" t="s">
        <v>7</v>
      </c>
      <c r="E32" s="282">
        <v>10800</v>
      </c>
      <c r="F32" s="277" t="s">
        <v>686</v>
      </c>
      <c r="G32" s="277" t="s">
        <v>652</v>
      </c>
    </row>
    <row r="33" spans="2:7">
      <c r="B33" s="277">
        <v>28</v>
      </c>
      <c r="C33" s="278" t="s">
        <v>688</v>
      </c>
      <c r="D33" s="277" t="s">
        <v>7</v>
      </c>
      <c r="E33" s="282">
        <v>19090</v>
      </c>
      <c r="F33" s="277" t="s">
        <v>686</v>
      </c>
      <c r="G33" s="277" t="s">
        <v>652</v>
      </c>
    </row>
    <row r="34" spans="2:7">
      <c r="B34" s="277">
        <v>29</v>
      </c>
      <c r="C34" s="278" t="s">
        <v>11</v>
      </c>
      <c r="D34" s="277" t="s">
        <v>7</v>
      </c>
      <c r="E34" s="282">
        <v>16800</v>
      </c>
      <c r="F34" s="277" t="s">
        <v>686</v>
      </c>
      <c r="G34" s="277" t="s">
        <v>652</v>
      </c>
    </row>
    <row r="35" spans="2:7">
      <c r="B35" s="277">
        <v>30</v>
      </c>
      <c r="C35" s="278" t="s">
        <v>689</v>
      </c>
      <c r="D35" s="277" t="s">
        <v>7</v>
      </c>
      <c r="E35" s="282">
        <v>65000</v>
      </c>
      <c r="F35" s="277" t="s">
        <v>686</v>
      </c>
      <c r="G35" s="277" t="s">
        <v>652</v>
      </c>
    </row>
    <row r="36" spans="2:7">
      <c r="B36" s="277">
        <v>31</v>
      </c>
      <c r="C36" s="278" t="s">
        <v>690</v>
      </c>
      <c r="D36" s="277" t="s">
        <v>7</v>
      </c>
      <c r="E36" s="282">
        <v>16400</v>
      </c>
      <c r="F36" s="277" t="s">
        <v>686</v>
      </c>
      <c r="G36" s="277" t="s">
        <v>652</v>
      </c>
    </row>
    <row r="37" spans="2:7">
      <c r="B37" s="277">
        <v>32</v>
      </c>
      <c r="C37" s="278" t="s">
        <v>691</v>
      </c>
      <c r="D37" s="277" t="s">
        <v>7</v>
      </c>
      <c r="E37" s="282">
        <v>69750</v>
      </c>
      <c r="F37" s="277" t="s">
        <v>686</v>
      </c>
      <c r="G37" s="277" t="s">
        <v>652</v>
      </c>
    </row>
    <row r="38" spans="2:7">
      <c r="B38" s="277">
        <v>33</v>
      </c>
      <c r="C38" s="278" t="s">
        <v>692</v>
      </c>
      <c r="D38" s="277" t="s">
        <v>7</v>
      </c>
      <c r="E38" s="282">
        <v>40000</v>
      </c>
      <c r="F38" s="277" t="s">
        <v>686</v>
      </c>
      <c r="G38" s="277" t="s">
        <v>652</v>
      </c>
    </row>
    <row r="39" spans="2:7">
      <c r="B39" s="277">
        <v>34</v>
      </c>
      <c r="C39" s="278" t="s">
        <v>693</v>
      </c>
      <c r="D39" s="277" t="s">
        <v>694</v>
      </c>
      <c r="E39" s="282">
        <v>165000</v>
      </c>
      <c r="F39" s="277" t="s">
        <v>686</v>
      </c>
      <c r="G39" s="277" t="s">
        <v>652</v>
      </c>
    </row>
    <row r="40" spans="2:7">
      <c r="B40" s="277">
        <v>35</v>
      </c>
      <c r="C40" s="278" t="s">
        <v>695</v>
      </c>
      <c r="D40" s="277" t="s">
        <v>659</v>
      </c>
      <c r="E40" s="282">
        <v>165000</v>
      </c>
      <c r="F40" s="277" t="s">
        <v>686</v>
      </c>
      <c r="G40" s="277" t="s">
        <v>652</v>
      </c>
    </row>
    <row r="41" spans="2:7">
      <c r="B41" s="277">
        <v>36</v>
      </c>
      <c r="C41" s="278" t="s">
        <v>696</v>
      </c>
      <c r="D41" s="277" t="s">
        <v>659</v>
      </c>
      <c r="E41" s="282">
        <v>2400000</v>
      </c>
      <c r="F41" s="277" t="s">
        <v>686</v>
      </c>
      <c r="G41" s="277" t="s">
        <v>644</v>
      </c>
    </row>
    <row r="42" spans="2:7">
      <c r="B42" s="277">
        <v>37</v>
      </c>
      <c r="C42" s="278" t="s">
        <v>697</v>
      </c>
      <c r="D42" s="277" t="s">
        <v>659</v>
      </c>
      <c r="E42" s="282">
        <v>2250000</v>
      </c>
      <c r="F42" s="277" t="s">
        <v>686</v>
      </c>
      <c r="G42" s="277" t="s">
        <v>644</v>
      </c>
    </row>
    <row r="43" spans="2:7">
      <c r="B43" s="277">
        <v>38</v>
      </c>
      <c r="C43" s="278" t="s">
        <v>698</v>
      </c>
      <c r="D43" s="277" t="s">
        <v>659</v>
      </c>
      <c r="E43" s="282">
        <v>2200000</v>
      </c>
      <c r="F43" s="277" t="s">
        <v>686</v>
      </c>
      <c r="G43" s="277" t="s">
        <v>644</v>
      </c>
    </row>
    <row r="44" spans="2:7">
      <c r="B44" s="277">
        <v>39</v>
      </c>
      <c r="C44" s="278" t="s">
        <v>699</v>
      </c>
      <c r="D44" s="277" t="s">
        <v>700</v>
      </c>
      <c r="E44" s="282">
        <v>66625</v>
      </c>
      <c r="F44" s="277" t="s">
        <v>686</v>
      </c>
      <c r="G44" s="277" t="s">
        <v>652</v>
      </c>
    </row>
    <row r="45" spans="2:7">
      <c r="B45" s="277">
        <v>40</v>
      </c>
      <c r="C45" s="278" t="s">
        <v>701</v>
      </c>
      <c r="D45" s="277" t="s">
        <v>700</v>
      </c>
      <c r="E45" s="282">
        <v>105750</v>
      </c>
      <c r="F45" s="277" t="s">
        <v>686</v>
      </c>
      <c r="G45" s="277" t="s">
        <v>652</v>
      </c>
    </row>
    <row r="46" spans="2:7">
      <c r="B46" s="277">
        <v>41</v>
      </c>
      <c r="C46" s="278" t="s">
        <v>702</v>
      </c>
      <c r="D46" s="277" t="s">
        <v>700</v>
      </c>
      <c r="E46" s="282">
        <v>124925</v>
      </c>
      <c r="F46" s="277" t="s">
        <v>686</v>
      </c>
      <c r="G46" s="277" t="s">
        <v>652</v>
      </c>
    </row>
    <row r="47" spans="2:7">
      <c r="B47" s="277">
        <v>42</v>
      </c>
      <c r="C47" s="278" t="s">
        <v>703</v>
      </c>
      <c r="D47" s="277" t="s">
        <v>700</v>
      </c>
      <c r="E47" s="282">
        <v>181500</v>
      </c>
      <c r="F47" s="277" t="s">
        <v>686</v>
      </c>
      <c r="G47" s="277" t="s">
        <v>652</v>
      </c>
    </row>
    <row r="48" spans="2:7">
      <c r="B48" s="277">
        <v>43</v>
      </c>
      <c r="C48" s="278" t="s">
        <v>704</v>
      </c>
      <c r="D48" s="277" t="s">
        <v>705</v>
      </c>
      <c r="E48" s="282">
        <v>13294</v>
      </c>
      <c r="F48" s="277" t="s">
        <v>686</v>
      </c>
      <c r="G48" s="277" t="s">
        <v>652</v>
      </c>
    </row>
    <row r="49" spans="2:7">
      <c r="B49" s="277">
        <v>44</v>
      </c>
      <c r="C49" s="278" t="s">
        <v>706</v>
      </c>
      <c r="D49" s="277" t="s">
        <v>7</v>
      </c>
      <c r="E49" s="282">
        <v>24000</v>
      </c>
      <c r="F49" s="277" t="s">
        <v>686</v>
      </c>
      <c r="G49" s="277" t="s">
        <v>652</v>
      </c>
    </row>
    <row r="50" spans="2:7">
      <c r="B50" s="277">
        <v>45</v>
      </c>
      <c r="C50" s="278" t="s">
        <v>707</v>
      </c>
      <c r="D50" s="277" t="s">
        <v>7</v>
      </c>
      <c r="E50" s="282">
        <v>1200</v>
      </c>
      <c r="F50" s="277" t="s">
        <v>708</v>
      </c>
      <c r="G50" s="277" t="s">
        <v>644</v>
      </c>
    </row>
    <row r="51" spans="2:7">
      <c r="B51" s="277">
        <v>46</v>
      </c>
      <c r="C51" s="278" t="s">
        <v>709</v>
      </c>
      <c r="D51" s="277" t="s">
        <v>7</v>
      </c>
      <c r="E51" s="282">
        <v>10000</v>
      </c>
      <c r="F51" s="277" t="s">
        <v>686</v>
      </c>
      <c r="G51" s="277" t="s">
        <v>652</v>
      </c>
    </row>
    <row r="52" spans="2:7">
      <c r="B52" s="277">
        <v>47</v>
      </c>
      <c r="C52" s="278" t="s">
        <v>710</v>
      </c>
      <c r="D52" s="277" t="s">
        <v>7</v>
      </c>
      <c r="E52" s="282">
        <v>47700</v>
      </c>
      <c r="F52" s="277" t="s">
        <v>686</v>
      </c>
      <c r="G52" s="277" t="s">
        <v>652</v>
      </c>
    </row>
    <row r="53" spans="2:7">
      <c r="B53" s="277">
        <v>48</v>
      </c>
      <c r="C53" s="278" t="s">
        <v>711</v>
      </c>
      <c r="D53" s="277" t="s">
        <v>7</v>
      </c>
      <c r="E53" s="282">
        <v>55000</v>
      </c>
      <c r="F53" s="277" t="s">
        <v>686</v>
      </c>
      <c r="G53" s="277" t="s">
        <v>652</v>
      </c>
    </row>
    <row r="54" spans="2:7">
      <c r="B54" s="277">
        <v>49</v>
      </c>
      <c r="C54" s="278" t="s">
        <v>166</v>
      </c>
      <c r="D54" s="277" t="s">
        <v>700</v>
      </c>
      <c r="E54" s="282">
        <v>4250</v>
      </c>
      <c r="F54" s="277" t="s">
        <v>686</v>
      </c>
      <c r="G54" s="277" t="s">
        <v>644</v>
      </c>
    </row>
    <row r="55" spans="2:7">
      <c r="B55" s="277">
        <v>50</v>
      </c>
      <c r="C55" s="278" t="s">
        <v>712</v>
      </c>
      <c r="D55" s="277" t="s">
        <v>694</v>
      </c>
      <c r="E55" s="282">
        <v>27500</v>
      </c>
      <c r="F55" s="277" t="s">
        <v>686</v>
      </c>
      <c r="G55" s="277" t="s">
        <v>652</v>
      </c>
    </row>
    <row r="56" spans="2:7">
      <c r="B56" s="277">
        <v>51</v>
      </c>
      <c r="C56" s="278" t="s">
        <v>713</v>
      </c>
      <c r="D56" s="277" t="s">
        <v>670</v>
      </c>
      <c r="E56" s="282">
        <v>48800</v>
      </c>
      <c r="F56" s="277" t="s">
        <v>686</v>
      </c>
      <c r="G56" s="277" t="s">
        <v>652</v>
      </c>
    </row>
    <row r="57" spans="2:7">
      <c r="B57" s="277">
        <v>52</v>
      </c>
      <c r="C57" s="278" t="s">
        <v>714</v>
      </c>
      <c r="D57" s="277" t="s">
        <v>670</v>
      </c>
      <c r="E57" s="282">
        <v>1700</v>
      </c>
      <c r="F57" s="277" t="s">
        <v>686</v>
      </c>
      <c r="G57" s="277" t="s">
        <v>652</v>
      </c>
    </row>
    <row r="58" spans="2:7">
      <c r="B58" s="277">
        <v>53</v>
      </c>
      <c r="C58" s="278" t="s">
        <v>715</v>
      </c>
      <c r="D58" s="277" t="s">
        <v>670</v>
      </c>
      <c r="E58" s="282">
        <v>3100</v>
      </c>
      <c r="F58" s="277" t="s">
        <v>686</v>
      </c>
      <c r="G58" s="277" t="s">
        <v>652</v>
      </c>
    </row>
    <row r="59" spans="2:7">
      <c r="B59" s="277">
        <v>54</v>
      </c>
      <c r="C59" s="278" t="s">
        <v>434</v>
      </c>
      <c r="D59" s="277" t="s">
        <v>670</v>
      </c>
      <c r="E59" s="282">
        <v>900</v>
      </c>
      <c r="F59" s="277" t="s">
        <v>686</v>
      </c>
      <c r="G59" s="277" t="s">
        <v>644</v>
      </c>
    </row>
    <row r="60" spans="2:7">
      <c r="B60" s="277">
        <v>55</v>
      </c>
      <c r="C60" s="278" t="s">
        <v>716</v>
      </c>
      <c r="D60" s="277" t="s">
        <v>670</v>
      </c>
      <c r="E60" s="282">
        <v>8850</v>
      </c>
      <c r="F60" s="277" t="s">
        <v>686</v>
      </c>
      <c r="G60" s="277" t="s">
        <v>644</v>
      </c>
    </row>
    <row r="61" spans="2:7">
      <c r="B61" s="277">
        <v>56</v>
      </c>
      <c r="C61" s="278" t="s">
        <v>717</v>
      </c>
      <c r="D61" s="277" t="s">
        <v>7</v>
      </c>
      <c r="E61" s="282">
        <v>10000</v>
      </c>
      <c r="F61" s="277" t="s">
        <v>686</v>
      </c>
      <c r="G61" s="277" t="s">
        <v>644</v>
      </c>
    </row>
    <row r="62" spans="2:7">
      <c r="B62" s="277">
        <v>57</v>
      </c>
      <c r="C62" s="278" t="s">
        <v>105</v>
      </c>
      <c r="D62" s="277" t="s">
        <v>659</v>
      </c>
      <c r="E62" s="282">
        <v>150000</v>
      </c>
      <c r="F62" s="277" t="s">
        <v>686</v>
      </c>
      <c r="G62" s="277" t="s">
        <v>644</v>
      </c>
    </row>
    <row r="63" spans="2:7">
      <c r="B63" s="277">
        <v>58</v>
      </c>
      <c r="C63" s="278" t="s">
        <v>105</v>
      </c>
      <c r="D63" s="277" t="s">
        <v>718</v>
      </c>
      <c r="E63" s="282">
        <v>125000</v>
      </c>
      <c r="F63" s="277" t="s">
        <v>686</v>
      </c>
      <c r="G63" s="277" t="s">
        <v>644</v>
      </c>
    </row>
    <row r="64" spans="2:7">
      <c r="B64" s="277">
        <v>59</v>
      </c>
      <c r="C64" s="278" t="s">
        <v>719</v>
      </c>
      <c r="D64" s="277" t="s">
        <v>659</v>
      </c>
      <c r="E64" s="282">
        <v>4067000</v>
      </c>
      <c r="F64" s="277" t="s">
        <v>686</v>
      </c>
      <c r="G64" s="277" t="s">
        <v>644</v>
      </c>
    </row>
    <row r="65" spans="2:7">
      <c r="B65" s="277">
        <v>60</v>
      </c>
      <c r="C65" s="278" t="s">
        <v>720</v>
      </c>
      <c r="D65" s="277" t="s">
        <v>659</v>
      </c>
      <c r="E65" s="282">
        <v>3967000</v>
      </c>
      <c r="F65" s="277" t="s">
        <v>686</v>
      </c>
      <c r="G65" s="277" t="s">
        <v>644</v>
      </c>
    </row>
    <row r="66" spans="2:7">
      <c r="B66" s="277">
        <v>61</v>
      </c>
      <c r="C66" s="278" t="s">
        <v>721</v>
      </c>
      <c r="D66" s="277" t="s">
        <v>659</v>
      </c>
      <c r="E66" s="282">
        <v>3167000</v>
      </c>
      <c r="F66" s="277" t="s">
        <v>686</v>
      </c>
      <c r="G66" s="277" t="s">
        <v>644</v>
      </c>
    </row>
    <row r="67" spans="2:7">
      <c r="B67" s="277">
        <v>62</v>
      </c>
      <c r="C67" s="278" t="s">
        <v>722</v>
      </c>
      <c r="D67" s="277" t="s">
        <v>659</v>
      </c>
      <c r="E67" s="282">
        <v>3367000</v>
      </c>
      <c r="F67" s="277" t="s">
        <v>686</v>
      </c>
      <c r="G67" s="277" t="s">
        <v>644</v>
      </c>
    </row>
    <row r="68" spans="2:7">
      <c r="B68" s="277">
        <v>63</v>
      </c>
      <c r="C68" s="278" t="s">
        <v>723</v>
      </c>
      <c r="D68" s="277" t="s">
        <v>659</v>
      </c>
      <c r="E68" s="282">
        <v>2450000</v>
      </c>
      <c r="F68" s="277" t="s">
        <v>686</v>
      </c>
      <c r="G68" s="277" t="s">
        <v>644</v>
      </c>
    </row>
    <row r="69" spans="2:7">
      <c r="B69" s="277">
        <v>64</v>
      </c>
      <c r="C69" s="278" t="s">
        <v>724</v>
      </c>
      <c r="D69" s="277" t="s">
        <v>659</v>
      </c>
      <c r="E69" s="282">
        <v>2350000</v>
      </c>
      <c r="F69" s="277" t="s">
        <v>686</v>
      </c>
      <c r="G69" s="277" t="s">
        <v>644</v>
      </c>
    </row>
    <row r="70" spans="2:7">
      <c r="B70" s="277">
        <v>65</v>
      </c>
      <c r="C70" s="278" t="s">
        <v>725</v>
      </c>
      <c r="D70" s="277" t="s">
        <v>726</v>
      </c>
      <c r="E70" s="282">
        <v>203600</v>
      </c>
      <c r="F70" s="277" t="s">
        <v>686</v>
      </c>
      <c r="G70" s="277" t="s">
        <v>644</v>
      </c>
    </row>
    <row r="71" spans="2:7">
      <c r="B71" s="277">
        <v>66</v>
      </c>
      <c r="C71" s="278" t="s">
        <v>208</v>
      </c>
      <c r="D71" s="277" t="s">
        <v>7</v>
      </c>
      <c r="E71" s="282">
        <v>11500</v>
      </c>
      <c r="F71" s="277" t="s">
        <v>686</v>
      </c>
      <c r="G71" s="277" t="s">
        <v>644</v>
      </c>
    </row>
    <row r="72" spans="2:7">
      <c r="B72" s="277">
        <v>67</v>
      </c>
      <c r="C72" s="278" t="s">
        <v>727</v>
      </c>
      <c r="D72" s="277" t="s">
        <v>670</v>
      </c>
      <c r="E72" s="282">
        <v>1925</v>
      </c>
      <c r="F72" s="277" t="s">
        <v>686</v>
      </c>
      <c r="G72" s="277" t="s">
        <v>644</v>
      </c>
    </row>
    <row r="73" spans="2:7">
      <c r="B73" s="277">
        <v>68</v>
      </c>
      <c r="C73" s="278" t="s">
        <v>728</v>
      </c>
      <c r="D73" s="277" t="s">
        <v>670</v>
      </c>
      <c r="E73" s="282">
        <v>40000</v>
      </c>
      <c r="F73" s="277" t="s">
        <v>686</v>
      </c>
      <c r="G73" s="277" t="s">
        <v>644</v>
      </c>
    </row>
    <row r="74" spans="2:7">
      <c r="B74" s="277">
        <v>69</v>
      </c>
      <c r="C74" s="278" t="s">
        <v>728</v>
      </c>
      <c r="D74" s="277" t="s">
        <v>729</v>
      </c>
      <c r="E74" s="282">
        <v>160000</v>
      </c>
      <c r="F74" s="277" t="s">
        <v>686</v>
      </c>
      <c r="G74" s="277" t="s">
        <v>644</v>
      </c>
    </row>
    <row r="75" spans="2:7">
      <c r="B75" s="277">
        <v>70</v>
      </c>
      <c r="C75" s="278" t="s">
        <v>730</v>
      </c>
      <c r="D75" s="277" t="s">
        <v>670</v>
      </c>
      <c r="E75" s="282">
        <v>25000</v>
      </c>
      <c r="F75" s="277" t="s">
        <v>686</v>
      </c>
      <c r="G75" s="277" t="s">
        <v>644</v>
      </c>
    </row>
    <row r="76" spans="2:7">
      <c r="B76" s="277">
        <v>71</v>
      </c>
      <c r="C76" s="278" t="s">
        <v>730</v>
      </c>
      <c r="D76" s="277" t="s">
        <v>729</v>
      </c>
      <c r="E76" s="282">
        <v>150000</v>
      </c>
      <c r="F76" s="277" t="s">
        <v>686</v>
      </c>
      <c r="G76" s="277" t="s">
        <v>644</v>
      </c>
    </row>
    <row r="77" spans="2:7">
      <c r="B77" s="277">
        <v>72</v>
      </c>
      <c r="C77" s="278" t="s">
        <v>731</v>
      </c>
      <c r="D77" s="277" t="s">
        <v>729</v>
      </c>
      <c r="E77" s="282">
        <v>71500</v>
      </c>
      <c r="F77" s="277" t="s">
        <v>686</v>
      </c>
      <c r="G77" s="277" t="s">
        <v>644</v>
      </c>
    </row>
    <row r="78" spans="2:7">
      <c r="B78" s="277">
        <v>73</v>
      </c>
      <c r="C78" s="278" t="s">
        <v>731</v>
      </c>
      <c r="D78" s="277" t="s">
        <v>670</v>
      </c>
      <c r="E78" s="282">
        <v>17500</v>
      </c>
      <c r="F78" s="277" t="s">
        <v>686</v>
      </c>
      <c r="G78" s="277" t="s">
        <v>644</v>
      </c>
    </row>
    <row r="79" spans="2:7">
      <c r="B79" s="277">
        <v>74</v>
      </c>
      <c r="C79" s="278" t="s">
        <v>732</v>
      </c>
      <c r="D79" s="277" t="s">
        <v>729</v>
      </c>
      <c r="E79" s="282">
        <v>70000</v>
      </c>
      <c r="F79" s="277" t="s">
        <v>686</v>
      </c>
      <c r="G79" s="277" t="s">
        <v>644</v>
      </c>
    </row>
    <row r="80" spans="2:7">
      <c r="B80" s="277">
        <v>75</v>
      </c>
      <c r="C80" s="278" t="s">
        <v>732</v>
      </c>
      <c r="D80" s="277" t="s">
        <v>670</v>
      </c>
      <c r="E80" s="282">
        <v>9000</v>
      </c>
      <c r="F80" s="277" t="s">
        <v>686</v>
      </c>
      <c r="G80" s="277" t="s">
        <v>644</v>
      </c>
    </row>
    <row r="81" spans="2:7">
      <c r="B81" s="277">
        <v>76</v>
      </c>
      <c r="C81" s="278" t="s">
        <v>733</v>
      </c>
      <c r="D81" s="277" t="s">
        <v>729</v>
      </c>
      <c r="E81" s="282">
        <v>70000</v>
      </c>
      <c r="F81" s="277" t="s">
        <v>686</v>
      </c>
      <c r="G81" s="277" t="s">
        <v>644</v>
      </c>
    </row>
    <row r="82" spans="2:7">
      <c r="B82" s="277">
        <v>77</v>
      </c>
      <c r="C82" s="278" t="s">
        <v>733</v>
      </c>
      <c r="D82" s="277" t="s">
        <v>670</v>
      </c>
      <c r="E82" s="282">
        <v>3000</v>
      </c>
      <c r="F82" s="277" t="s">
        <v>686</v>
      </c>
      <c r="G82" s="277" t="s">
        <v>644</v>
      </c>
    </row>
    <row r="83" spans="2:7">
      <c r="B83" s="277">
        <v>78</v>
      </c>
      <c r="C83" s="278" t="s">
        <v>734</v>
      </c>
      <c r="D83" s="277" t="s">
        <v>729</v>
      </c>
      <c r="E83" s="282">
        <v>72500</v>
      </c>
      <c r="F83" s="277" t="s">
        <v>686</v>
      </c>
      <c r="G83" s="277" t="s">
        <v>644</v>
      </c>
    </row>
    <row r="84" spans="2:7">
      <c r="B84" s="277">
        <v>79</v>
      </c>
      <c r="C84" s="278" t="s">
        <v>734</v>
      </c>
      <c r="D84" s="277" t="s">
        <v>670</v>
      </c>
      <c r="E84" s="282">
        <v>7000</v>
      </c>
      <c r="F84" s="277" t="s">
        <v>686</v>
      </c>
      <c r="G84" s="277" t="s">
        <v>644</v>
      </c>
    </row>
    <row r="85" spans="2:7">
      <c r="B85" s="277">
        <v>80</v>
      </c>
      <c r="C85" s="278" t="s">
        <v>735</v>
      </c>
      <c r="D85" s="277" t="s">
        <v>7</v>
      </c>
      <c r="E85" s="282">
        <v>11500</v>
      </c>
      <c r="F85" s="277" t="s">
        <v>686</v>
      </c>
      <c r="G85" s="277" t="s">
        <v>644</v>
      </c>
    </row>
    <row r="86" spans="2:7">
      <c r="B86" s="277">
        <v>81</v>
      </c>
      <c r="C86" s="278" t="s">
        <v>735</v>
      </c>
      <c r="D86" s="277" t="s">
        <v>736</v>
      </c>
      <c r="E86" s="282">
        <v>95000</v>
      </c>
      <c r="F86" s="277" t="s">
        <v>686</v>
      </c>
      <c r="G86" s="277" t="s">
        <v>644</v>
      </c>
    </row>
    <row r="87" spans="2:7">
      <c r="B87" s="277">
        <v>82</v>
      </c>
      <c r="C87" s="278" t="s">
        <v>737</v>
      </c>
      <c r="D87" s="277" t="s">
        <v>670</v>
      </c>
      <c r="E87" s="282">
        <v>100</v>
      </c>
      <c r="F87" s="277" t="s">
        <v>686</v>
      </c>
      <c r="G87" s="277" t="s">
        <v>644</v>
      </c>
    </row>
    <row r="88" spans="2:7">
      <c r="B88" s="277">
        <v>83</v>
      </c>
      <c r="C88" s="278" t="s">
        <v>738</v>
      </c>
      <c r="D88" s="277" t="s">
        <v>739</v>
      </c>
      <c r="E88" s="282">
        <v>1050000</v>
      </c>
      <c r="F88" s="277" t="s">
        <v>686</v>
      </c>
      <c r="G88" s="277" t="s">
        <v>644</v>
      </c>
    </row>
    <row r="89" spans="2:7">
      <c r="B89" s="277">
        <v>84</v>
      </c>
      <c r="C89" s="278" t="s">
        <v>214</v>
      </c>
      <c r="D89" s="277" t="s">
        <v>700</v>
      </c>
      <c r="E89" s="282">
        <v>44500</v>
      </c>
      <c r="F89" s="277" t="s">
        <v>686</v>
      </c>
      <c r="G89" s="277" t="s">
        <v>644</v>
      </c>
    </row>
    <row r="90" spans="2:7">
      <c r="B90" s="277">
        <v>85</v>
      </c>
      <c r="C90" s="278" t="s">
        <v>141</v>
      </c>
      <c r="D90" s="277" t="s">
        <v>7</v>
      </c>
      <c r="E90" s="282">
        <v>20000</v>
      </c>
      <c r="F90" s="277" t="s">
        <v>686</v>
      </c>
      <c r="G90" s="277" t="s">
        <v>644</v>
      </c>
    </row>
    <row r="91" spans="2:7">
      <c r="B91" s="277">
        <v>86</v>
      </c>
      <c r="C91" s="278" t="s">
        <v>141</v>
      </c>
      <c r="D91" s="277" t="s">
        <v>729</v>
      </c>
      <c r="E91" s="282">
        <v>16000</v>
      </c>
      <c r="F91" s="277" t="s">
        <v>686</v>
      </c>
      <c r="G91" s="277" t="s">
        <v>644</v>
      </c>
    </row>
    <row r="92" spans="2:7">
      <c r="B92" s="277">
        <v>87</v>
      </c>
      <c r="C92" s="283" t="s">
        <v>740</v>
      </c>
      <c r="D92" s="277" t="s">
        <v>741</v>
      </c>
      <c r="E92" s="282">
        <v>65000</v>
      </c>
      <c r="F92" s="277" t="s">
        <v>686</v>
      </c>
      <c r="G92" s="277" t="s">
        <v>644</v>
      </c>
    </row>
    <row r="93" spans="2:7">
      <c r="B93" s="277">
        <v>88</v>
      </c>
      <c r="C93" s="278" t="s">
        <v>737</v>
      </c>
      <c r="D93" s="277" t="s">
        <v>739</v>
      </c>
      <c r="E93" s="282">
        <v>1030000</v>
      </c>
      <c r="F93" s="277" t="s">
        <v>686</v>
      </c>
      <c r="G93" s="277" t="s">
        <v>644</v>
      </c>
    </row>
    <row r="94" spans="2:7">
      <c r="B94" s="277">
        <v>89</v>
      </c>
      <c r="C94" s="278" t="s">
        <v>742</v>
      </c>
      <c r="D94" s="277" t="s">
        <v>694</v>
      </c>
      <c r="E94" s="282">
        <v>50000</v>
      </c>
      <c r="F94" s="277" t="s">
        <v>686</v>
      </c>
      <c r="G94" s="277" t="s">
        <v>644</v>
      </c>
    </row>
    <row r="95" spans="2:7">
      <c r="B95" s="277">
        <v>90</v>
      </c>
      <c r="C95" s="278" t="s">
        <v>742</v>
      </c>
      <c r="D95" s="277" t="s">
        <v>7</v>
      </c>
      <c r="E95" s="282">
        <v>47000</v>
      </c>
      <c r="F95" s="277" t="s">
        <v>686</v>
      </c>
      <c r="G95" s="277" t="s">
        <v>644</v>
      </c>
    </row>
    <row r="96" spans="2:7">
      <c r="B96" s="277">
        <v>91</v>
      </c>
      <c r="C96" s="278" t="s">
        <v>743</v>
      </c>
      <c r="D96" s="277" t="s">
        <v>670</v>
      </c>
      <c r="E96" s="282">
        <v>3700</v>
      </c>
      <c r="F96" s="277" t="s">
        <v>686</v>
      </c>
      <c r="G96" s="277" t="s">
        <v>644</v>
      </c>
    </row>
    <row r="97" spans="2:7">
      <c r="B97" s="277">
        <v>92</v>
      </c>
      <c r="C97" s="278" t="s">
        <v>744</v>
      </c>
      <c r="D97" s="277" t="s">
        <v>670</v>
      </c>
      <c r="E97" s="282">
        <v>4000</v>
      </c>
      <c r="F97" s="277" t="s">
        <v>686</v>
      </c>
      <c r="G97" s="277" t="s">
        <v>644</v>
      </c>
    </row>
    <row r="98" spans="2:7">
      <c r="B98" s="277">
        <v>93</v>
      </c>
      <c r="C98" s="278" t="s">
        <v>745</v>
      </c>
      <c r="D98" s="277" t="s">
        <v>700</v>
      </c>
      <c r="E98" s="282">
        <v>70000</v>
      </c>
      <c r="F98" s="277" t="s">
        <v>686</v>
      </c>
      <c r="G98" s="277" t="s">
        <v>644</v>
      </c>
    </row>
    <row r="99" spans="2:7">
      <c r="B99" s="277">
        <v>94</v>
      </c>
      <c r="C99" s="278" t="s">
        <v>746</v>
      </c>
      <c r="D99" s="277" t="s">
        <v>741</v>
      </c>
      <c r="E99" s="282">
        <v>65000</v>
      </c>
      <c r="F99" s="277" t="s">
        <v>686</v>
      </c>
      <c r="G99" s="277" t="s">
        <v>644</v>
      </c>
    </row>
    <row r="100" spans="2:7">
      <c r="B100" s="277">
        <v>95</v>
      </c>
      <c r="C100" s="278" t="s">
        <v>747</v>
      </c>
      <c r="D100" s="277" t="s">
        <v>694</v>
      </c>
      <c r="E100" s="282">
        <v>27000</v>
      </c>
      <c r="F100" s="277" t="s">
        <v>686</v>
      </c>
      <c r="G100" s="277" t="s">
        <v>644</v>
      </c>
    </row>
    <row r="101" spans="2:7">
      <c r="B101" s="277">
        <v>96</v>
      </c>
      <c r="C101" s="278" t="s">
        <v>748</v>
      </c>
      <c r="D101" s="277" t="s">
        <v>694</v>
      </c>
      <c r="E101" s="282">
        <v>22000</v>
      </c>
      <c r="F101" s="277" t="s">
        <v>686</v>
      </c>
      <c r="G101" s="277" t="s">
        <v>644</v>
      </c>
    </row>
    <row r="102" spans="2:7">
      <c r="B102" s="277">
        <v>97</v>
      </c>
      <c r="C102" s="278" t="s">
        <v>749</v>
      </c>
      <c r="D102" s="277" t="s">
        <v>694</v>
      </c>
      <c r="E102" s="282">
        <v>16500</v>
      </c>
      <c r="F102" s="277" t="s">
        <v>686</v>
      </c>
      <c r="G102" s="277" t="s">
        <v>644</v>
      </c>
    </row>
    <row r="103" spans="2:7">
      <c r="B103" s="277">
        <v>98</v>
      </c>
      <c r="C103" s="278" t="s">
        <v>750</v>
      </c>
      <c r="D103" s="277" t="s">
        <v>751</v>
      </c>
      <c r="E103" s="282">
        <v>8000</v>
      </c>
      <c r="F103" s="277" t="s">
        <v>686</v>
      </c>
      <c r="G103" s="277" t="s">
        <v>644</v>
      </c>
    </row>
    <row r="104" spans="2:7">
      <c r="B104" s="277">
        <v>99</v>
      </c>
      <c r="C104" s="278" t="s">
        <v>752</v>
      </c>
      <c r="D104" s="277" t="s">
        <v>7</v>
      </c>
      <c r="E104" s="282">
        <v>20000</v>
      </c>
      <c r="F104" s="277" t="s">
        <v>686</v>
      </c>
      <c r="G104" s="277" t="s">
        <v>644</v>
      </c>
    </row>
    <row r="105" spans="2:7">
      <c r="B105" s="277">
        <v>100</v>
      </c>
      <c r="C105" s="278" t="s">
        <v>753</v>
      </c>
      <c r="D105" s="277" t="s">
        <v>729</v>
      </c>
      <c r="E105" s="282">
        <v>15000</v>
      </c>
      <c r="F105" s="277" t="s">
        <v>686</v>
      </c>
      <c r="G105" s="277" t="s">
        <v>644</v>
      </c>
    </row>
    <row r="106" spans="2:7">
      <c r="B106" s="277">
        <v>101</v>
      </c>
      <c r="C106" s="278" t="s">
        <v>754</v>
      </c>
      <c r="D106" s="277" t="s">
        <v>705</v>
      </c>
      <c r="E106" s="282">
        <v>71000</v>
      </c>
      <c r="F106" s="277" t="s">
        <v>686</v>
      </c>
      <c r="G106" s="277" t="s">
        <v>644</v>
      </c>
    </row>
    <row r="107" spans="2:7">
      <c r="B107" s="277">
        <v>102</v>
      </c>
      <c r="C107" s="278" t="s">
        <v>755</v>
      </c>
      <c r="D107" s="277" t="s">
        <v>705</v>
      </c>
      <c r="E107" s="282">
        <v>105000</v>
      </c>
      <c r="F107" s="277" t="s">
        <v>686</v>
      </c>
      <c r="G107" s="277" t="s">
        <v>644</v>
      </c>
    </row>
    <row r="108" spans="2:7">
      <c r="B108" s="277">
        <v>103</v>
      </c>
      <c r="C108" s="278" t="s">
        <v>756</v>
      </c>
      <c r="D108" s="277" t="s">
        <v>757</v>
      </c>
      <c r="E108" s="282">
        <v>15250</v>
      </c>
      <c r="F108" s="277" t="s">
        <v>686</v>
      </c>
      <c r="G108" s="277" t="s">
        <v>644</v>
      </c>
    </row>
    <row r="109" spans="2:7">
      <c r="B109" s="277">
        <v>104</v>
      </c>
      <c r="C109" s="278" t="s">
        <v>758</v>
      </c>
      <c r="D109" s="277" t="s">
        <v>759</v>
      </c>
      <c r="E109" s="282">
        <v>145000</v>
      </c>
      <c r="F109" s="277" t="s">
        <v>686</v>
      </c>
      <c r="G109" s="277" t="s">
        <v>644</v>
      </c>
    </row>
    <row r="110" spans="2:7">
      <c r="B110" s="284"/>
      <c r="C110" s="278" t="s">
        <v>760</v>
      </c>
      <c r="D110" s="277" t="s">
        <v>759</v>
      </c>
      <c r="E110" s="282">
        <v>290000</v>
      </c>
      <c r="F110" s="277" t="s">
        <v>686</v>
      </c>
      <c r="G110" s="277" t="s">
        <v>644</v>
      </c>
    </row>
    <row r="111" spans="2:7">
      <c r="B111" s="277">
        <v>106</v>
      </c>
      <c r="C111" s="278" t="s">
        <v>761</v>
      </c>
      <c r="D111" s="277" t="s">
        <v>762</v>
      </c>
      <c r="E111" s="282">
        <v>162500</v>
      </c>
      <c r="F111" s="277" t="s">
        <v>686</v>
      </c>
      <c r="G111" s="277" t="s">
        <v>644</v>
      </c>
    </row>
    <row r="112" spans="2:7">
      <c r="B112" s="277">
        <v>107</v>
      </c>
      <c r="C112" s="278" t="s">
        <v>763</v>
      </c>
      <c r="D112" s="277" t="s">
        <v>762</v>
      </c>
      <c r="E112" s="282">
        <v>52500</v>
      </c>
      <c r="F112" s="277" t="s">
        <v>686</v>
      </c>
      <c r="G112" s="277" t="s">
        <v>644</v>
      </c>
    </row>
    <row r="113" spans="2:7">
      <c r="B113" s="277">
        <v>108</v>
      </c>
      <c r="C113" s="278" t="s">
        <v>764</v>
      </c>
      <c r="D113" s="277" t="s">
        <v>670</v>
      </c>
      <c r="E113" s="282">
        <v>25000</v>
      </c>
      <c r="F113" s="277" t="s">
        <v>686</v>
      </c>
      <c r="G113" s="277" t="s">
        <v>644</v>
      </c>
    </row>
    <row r="114" spans="2:7">
      <c r="B114" s="277">
        <v>109</v>
      </c>
      <c r="C114" s="278" t="s">
        <v>765</v>
      </c>
      <c r="D114" s="277" t="s">
        <v>7</v>
      </c>
      <c r="E114" s="282">
        <v>57500</v>
      </c>
      <c r="F114" s="277" t="s">
        <v>686</v>
      </c>
      <c r="G114" s="277" t="s">
        <v>644</v>
      </c>
    </row>
    <row r="115" spans="2:7">
      <c r="B115" s="277">
        <v>110</v>
      </c>
      <c r="C115" s="278" t="s">
        <v>766</v>
      </c>
      <c r="D115" s="277" t="s">
        <v>670</v>
      </c>
      <c r="E115" s="282">
        <v>21700</v>
      </c>
      <c r="F115" s="277" t="s">
        <v>686</v>
      </c>
      <c r="G115" s="277" t="s">
        <v>644</v>
      </c>
    </row>
    <row r="116" spans="2:7">
      <c r="B116" s="277">
        <v>111</v>
      </c>
      <c r="C116" s="278" t="s">
        <v>767</v>
      </c>
      <c r="D116" s="277" t="s">
        <v>670</v>
      </c>
      <c r="E116" s="282">
        <v>16700</v>
      </c>
      <c r="F116" s="277" t="s">
        <v>686</v>
      </c>
      <c r="G116" s="277" t="s">
        <v>644</v>
      </c>
    </row>
    <row r="117" spans="2:7">
      <c r="B117" s="277">
        <v>112</v>
      </c>
      <c r="C117" s="278" t="s">
        <v>768</v>
      </c>
      <c r="D117" s="277" t="s">
        <v>670</v>
      </c>
      <c r="E117" s="282">
        <v>13000</v>
      </c>
      <c r="F117" s="277" t="s">
        <v>686</v>
      </c>
      <c r="G117" s="277" t="s">
        <v>644</v>
      </c>
    </row>
    <row r="118" spans="2:7">
      <c r="B118" s="277">
        <v>113</v>
      </c>
      <c r="C118" s="278" t="s">
        <v>769</v>
      </c>
      <c r="D118" s="277" t="s">
        <v>670</v>
      </c>
      <c r="E118" s="282">
        <v>12375</v>
      </c>
      <c r="F118" s="277" t="s">
        <v>686</v>
      </c>
      <c r="G118" s="277" t="s">
        <v>644</v>
      </c>
    </row>
    <row r="119" spans="2:7">
      <c r="B119" s="277">
        <v>114</v>
      </c>
      <c r="C119" s="278" t="s">
        <v>770</v>
      </c>
      <c r="D119" s="277" t="s">
        <v>670</v>
      </c>
      <c r="E119" s="282">
        <v>11750</v>
      </c>
      <c r="F119" s="277" t="s">
        <v>686</v>
      </c>
      <c r="G119" s="277" t="s">
        <v>644</v>
      </c>
    </row>
    <row r="120" spans="2:7">
      <c r="B120" s="277">
        <v>115</v>
      </c>
      <c r="C120" s="278" t="s">
        <v>771</v>
      </c>
      <c r="D120" s="277" t="s">
        <v>670</v>
      </c>
      <c r="E120" s="282">
        <v>29625</v>
      </c>
      <c r="F120" s="277" t="s">
        <v>686</v>
      </c>
      <c r="G120" s="277" t="s">
        <v>644</v>
      </c>
    </row>
    <row r="121" spans="2:7">
      <c r="B121" s="277">
        <v>116</v>
      </c>
      <c r="C121" s="278" t="s">
        <v>21</v>
      </c>
      <c r="D121" s="277" t="s">
        <v>7</v>
      </c>
      <c r="E121" s="282">
        <v>21250</v>
      </c>
      <c r="F121" s="277" t="s">
        <v>686</v>
      </c>
      <c r="G121" s="277" t="s">
        <v>644</v>
      </c>
    </row>
    <row r="122" spans="2:7">
      <c r="B122" s="277">
        <v>117</v>
      </c>
      <c r="C122" s="278" t="s">
        <v>21</v>
      </c>
      <c r="D122" s="277" t="s">
        <v>772</v>
      </c>
      <c r="E122" s="282">
        <v>45000</v>
      </c>
      <c r="F122" s="277" t="s">
        <v>686</v>
      </c>
      <c r="G122" s="277" t="s">
        <v>644</v>
      </c>
    </row>
    <row r="123" spans="2:7">
      <c r="B123" s="277">
        <v>118</v>
      </c>
      <c r="C123" s="278" t="s">
        <v>773</v>
      </c>
      <c r="D123" s="277" t="s">
        <v>7</v>
      </c>
      <c r="E123" s="282">
        <v>17000</v>
      </c>
      <c r="F123" s="277" t="s">
        <v>686</v>
      </c>
      <c r="G123" s="277" t="s">
        <v>644</v>
      </c>
    </row>
    <row r="124" spans="2:7">
      <c r="B124" s="277">
        <v>119</v>
      </c>
      <c r="C124" s="278" t="s">
        <v>773</v>
      </c>
      <c r="D124" s="277" t="s">
        <v>774</v>
      </c>
      <c r="E124" s="282">
        <v>98750</v>
      </c>
      <c r="F124" s="277" t="s">
        <v>686</v>
      </c>
      <c r="G124" s="277" t="s">
        <v>644</v>
      </c>
    </row>
    <row r="125" spans="2:7">
      <c r="B125" s="277">
        <v>120</v>
      </c>
      <c r="C125" s="278" t="s">
        <v>775</v>
      </c>
      <c r="D125" s="277" t="s">
        <v>7</v>
      </c>
      <c r="E125" s="282">
        <v>105000</v>
      </c>
      <c r="F125" s="277" t="s">
        <v>686</v>
      </c>
      <c r="G125" s="277" t="s">
        <v>644</v>
      </c>
    </row>
    <row r="126" spans="2:7">
      <c r="B126" s="277">
        <v>121</v>
      </c>
      <c r="C126" s="278" t="s">
        <v>776</v>
      </c>
      <c r="D126" s="277" t="s">
        <v>7</v>
      </c>
      <c r="E126" s="282">
        <v>103000</v>
      </c>
      <c r="F126" s="277" t="s">
        <v>686</v>
      </c>
      <c r="G126" s="277" t="s">
        <v>644</v>
      </c>
    </row>
    <row r="127" spans="2:7">
      <c r="B127" s="277">
        <v>122</v>
      </c>
      <c r="C127" s="278" t="s">
        <v>777</v>
      </c>
      <c r="D127" s="277" t="s">
        <v>7</v>
      </c>
      <c r="E127" s="282">
        <v>57250</v>
      </c>
      <c r="F127" s="277" t="s">
        <v>686</v>
      </c>
      <c r="G127" s="277" t="s">
        <v>644</v>
      </c>
    </row>
    <row r="128" spans="2:7">
      <c r="B128" s="277">
        <v>123</v>
      </c>
      <c r="C128" s="278" t="s">
        <v>778</v>
      </c>
      <c r="D128" s="277" t="s">
        <v>685</v>
      </c>
      <c r="E128" s="282">
        <v>80000</v>
      </c>
      <c r="F128" s="277" t="s">
        <v>686</v>
      </c>
      <c r="G128" s="277" t="s">
        <v>644</v>
      </c>
    </row>
    <row r="129" spans="2:7">
      <c r="B129" s="277">
        <v>124</v>
      </c>
      <c r="C129" s="278" t="s">
        <v>779</v>
      </c>
      <c r="D129" s="277" t="s">
        <v>7</v>
      </c>
      <c r="E129" s="282">
        <v>48000</v>
      </c>
      <c r="F129" s="277" t="s">
        <v>686</v>
      </c>
      <c r="G129" s="277" t="s">
        <v>644</v>
      </c>
    </row>
    <row r="130" spans="2:7">
      <c r="B130" s="277">
        <v>125</v>
      </c>
      <c r="C130" s="278" t="s">
        <v>780</v>
      </c>
      <c r="D130" s="277" t="s">
        <v>7</v>
      </c>
      <c r="E130" s="282">
        <v>49000</v>
      </c>
      <c r="F130" s="277" t="s">
        <v>686</v>
      </c>
      <c r="G130" s="277" t="s">
        <v>644</v>
      </c>
    </row>
    <row r="131" spans="2:7">
      <c r="B131" s="277">
        <v>126</v>
      </c>
      <c r="C131" s="278" t="s">
        <v>15</v>
      </c>
      <c r="D131" s="277" t="s">
        <v>685</v>
      </c>
      <c r="E131" s="282">
        <v>60000</v>
      </c>
      <c r="F131" s="277" t="s">
        <v>686</v>
      </c>
      <c r="G131" s="277" t="s">
        <v>644</v>
      </c>
    </row>
    <row r="132" spans="2:7">
      <c r="B132" s="277">
        <v>127</v>
      </c>
      <c r="C132" s="278" t="s">
        <v>781</v>
      </c>
      <c r="D132" s="277" t="s">
        <v>7</v>
      </c>
      <c r="E132" s="282">
        <v>34000</v>
      </c>
      <c r="F132" s="277" t="s">
        <v>686</v>
      </c>
      <c r="G132" s="277" t="s">
        <v>644</v>
      </c>
    </row>
    <row r="133" spans="2:7">
      <c r="B133" s="277">
        <v>128</v>
      </c>
      <c r="C133" s="278" t="s">
        <v>782</v>
      </c>
      <c r="D133" s="277" t="s">
        <v>7</v>
      </c>
      <c r="E133" s="282">
        <v>27500</v>
      </c>
      <c r="F133" s="277" t="s">
        <v>686</v>
      </c>
      <c r="G133" s="277" t="s">
        <v>644</v>
      </c>
    </row>
    <row r="134" spans="2:7">
      <c r="B134" s="277">
        <v>129</v>
      </c>
      <c r="C134" s="278" t="s">
        <v>783</v>
      </c>
      <c r="D134" s="277" t="s">
        <v>7</v>
      </c>
      <c r="E134" s="282">
        <v>32000</v>
      </c>
      <c r="F134" s="277" t="s">
        <v>686</v>
      </c>
      <c r="G134" s="277" t="s">
        <v>644</v>
      </c>
    </row>
    <row r="135" spans="2:7">
      <c r="B135" s="277">
        <v>130</v>
      </c>
      <c r="C135" s="278" t="s">
        <v>784</v>
      </c>
      <c r="D135" s="277" t="s">
        <v>7</v>
      </c>
      <c r="E135" s="282">
        <v>17500</v>
      </c>
      <c r="F135" s="277" t="s">
        <v>686</v>
      </c>
      <c r="G135" s="277" t="s">
        <v>644</v>
      </c>
    </row>
    <row r="136" spans="2:7">
      <c r="B136" s="277">
        <v>131</v>
      </c>
      <c r="C136" s="278" t="s">
        <v>785</v>
      </c>
      <c r="D136" s="277" t="s">
        <v>670</v>
      </c>
      <c r="E136" s="282">
        <v>6800</v>
      </c>
      <c r="F136" s="277" t="s">
        <v>686</v>
      </c>
      <c r="G136" s="277" t="s">
        <v>644</v>
      </c>
    </row>
    <row r="137" spans="2:7">
      <c r="B137" s="277">
        <v>132</v>
      </c>
      <c r="C137" s="278" t="s">
        <v>786</v>
      </c>
      <c r="D137" s="277" t="s">
        <v>670</v>
      </c>
      <c r="E137" s="282">
        <v>11800</v>
      </c>
      <c r="F137" s="277" t="s">
        <v>686</v>
      </c>
      <c r="G137" s="277" t="s">
        <v>644</v>
      </c>
    </row>
    <row r="138" spans="2:7">
      <c r="B138" s="277">
        <v>133</v>
      </c>
      <c r="C138" s="278" t="s">
        <v>175</v>
      </c>
      <c r="D138" s="277" t="s">
        <v>7</v>
      </c>
      <c r="E138" s="282">
        <v>37000</v>
      </c>
      <c r="F138" s="277" t="s">
        <v>686</v>
      </c>
      <c r="G138" s="277" t="s">
        <v>644</v>
      </c>
    </row>
    <row r="139" spans="2:7">
      <c r="B139" s="277">
        <v>134</v>
      </c>
      <c r="C139" s="278" t="s">
        <v>787</v>
      </c>
      <c r="D139" s="277" t="s">
        <v>670</v>
      </c>
      <c r="E139" s="282">
        <v>230000</v>
      </c>
      <c r="F139" s="277" t="s">
        <v>686</v>
      </c>
      <c r="G139" s="277" t="s">
        <v>644</v>
      </c>
    </row>
    <row r="140" spans="2:7">
      <c r="B140" s="277">
        <v>135</v>
      </c>
      <c r="C140" s="278" t="s">
        <v>788</v>
      </c>
      <c r="D140" s="277" t="s">
        <v>670</v>
      </c>
      <c r="E140" s="282">
        <v>1323000</v>
      </c>
      <c r="F140" s="277" t="s">
        <v>686</v>
      </c>
      <c r="G140" s="277" t="s">
        <v>644</v>
      </c>
    </row>
    <row r="141" spans="2:7">
      <c r="B141" s="277">
        <v>136</v>
      </c>
      <c r="C141" s="278" t="s">
        <v>789</v>
      </c>
      <c r="D141" s="277" t="s">
        <v>670</v>
      </c>
      <c r="E141" s="282">
        <v>1700000</v>
      </c>
      <c r="F141" s="277" t="s">
        <v>686</v>
      </c>
      <c r="G141" s="277" t="s">
        <v>644</v>
      </c>
    </row>
    <row r="142" spans="2:7">
      <c r="B142" s="277">
        <v>137</v>
      </c>
      <c r="C142" s="278" t="s">
        <v>790</v>
      </c>
      <c r="D142" s="277" t="s">
        <v>670</v>
      </c>
      <c r="E142" s="282">
        <v>415000</v>
      </c>
      <c r="F142" s="277" t="s">
        <v>686</v>
      </c>
      <c r="G142" s="277" t="s">
        <v>644</v>
      </c>
    </row>
    <row r="143" spans="2:7">
      <c r="B143" s="277">
        <v>138</v>
      </c>
      <c r="C143" s="278" t="s">
        <v>791</v>
      </c>
      <c r="D143" s="277" t="s">
        <v>670</v>
      </c>
      <c r="E143" s="282">
        <v>243000</v>
      </c>
      <c r="F143" s="277" t="s">
        <v>686</v>
      </c>
      <c r="G143" s="277" t="s">
        <v>644</v>
      </c>
    </row>
    <row r="144" spans="2:7">
      <c r="B144" s="277">
        <v>139</v>
      </c>
      <c r="C144" s="278" t="s">
        <v>792</v>
      </c>
      <c r="D144" s="277" t="s">
        <v>670</v>
      </c>
      <c r="E144" s="282">
        <v>35000</v>
      </c>
      <c r="F144" s="277" t="s">
        <v>686</v>
      </c>
      <c r="G144" s="277" t="s">
        <v>644</v>
      </c>
    </row>
    <row r="145" spans="2:7">
      <c r="B145" s="277">
        <v>140</v>
      </c>
      <c r="C145" s="278" t="s">
        <v>793</v>
      </c>
      <c r="D145" s="277" t="s">
        <v>670</v>
      </c>
      <c r="E145" s="282">
        <v>50000</v>
      </c>
      <c r="F145" s="277" t="s">
        <v>686</v>
      </c>
      <c r="G145" s="277" t="s">
        <v>644</v>
      </c>
    </row>
    <row r="146" spans="2:7">
      <c r="B146" s="277">
        <v>141</v>
      </c>
      <c r="C146" s="278" t="s">
        <v>794</v>
      </c>
      <c r="D146" s="277" t="s">
        <v>670</v>
      </c>
      <c r="E146" s="282">
        <v>3000</v>
      </c>
      <c r="F146" s="277" t="s">
        <v>686</v>
      </c>
      <c r="G146" s="277" t="s">
        <v>644</v>
      </c>
    </row>
    <row r="147" spans="2:7">
      <c r="B147" s="277">
        <v>142</v>
      </c>
      <c r="C147" s="278" t="s">
        <v>509</v>
      </c>
      <c r="D147" s="277" t="s">
        <v>670</v>
      </c>
      <c r="E147" s="282">
        <v>37500</v>
      </c>
      <c r="F147" s="277" t="s">
        <v>686</v>
      </c>
      <c r="G147" s="277" t="s">
        <v>644</v>
      </c>
    </row>
    <row r="148" spans="2:7">
      <c r="B148" s="277">
        <v>143</v>
      </c>
      <c r="C148" s="278" t="s">
        <v>795</v>
      </c>
      <c r="D148" s="277" t="s">
        <v>796</v>
      </c>
      <c r="E148" s="282">
        <v>24000</v>
      </c>
      <c r="F148" s="277" t="s">
        <v>686</v>
      </c>
      <c r="G148" s="277" t="s">
        <v>644</v>
      </c>
    </row>
    <row r="149" spans="2:7">
      <c r="B149" s="277">
        <v>144</v>
      </c>
      <c r="C149" s="278" t="s">
        <v>797</v>
      </c>
      <c r="D149" s="277" t="s">
        <v>796</v>
      </c>
      <c r="E149" s="282">
        <v>31000</v>
      </c>
      <c r="F149" s="277" t="s">
        <v>686</v>
      </c>
      <c r="G149" s="277" t="s">
        <v>644</v>
      </c>
    </row>
    <row r="150" spans="2:7">
      <c r="B150" s="277">
        <v>145</v>
      </c>
      <c r="C150" s="278" t="s">
        <v>798</v>
      </c>
      <c r="D150" s="277" t="s">
        <v>796</v>
      </c>
      <c r="E150" s="282">
        <v>228000</v>
      </c>
      <c r="F150" s="277" t="s">
        <v>686</v>
      </c>
      <c r="G150" s="277" t="s">
        <v>644</v>
      </c>
    </row>
    <row r="151" spans="2:7">
      <c r="B151" s="277">
        <v>146</v>
      </c>
      <c r="C151" s="278" t="s">
        <v>799</v>
      </c>
      <c r="D151" s="277" t="s">
        <v>796</v>
      </c>
      <c r="E151" s="282">
        <v>142500</v>
      </c>
      <c r="F151" s="277" t="s">
        <v>686</v>
      </c>
      <c r="G151" s="277" t="s">
        <v>644</v>
      </c>
    </row>
    <row r="152" spans="2:7">
      <c r="B152" s="277">
        <v>147</v>
      </c>
      <c r="C152" s="278" t="s">
        <v>800</v>
      </c>
      <c r="D152" s="277" t="s">
        <v>796</v>
      </c>
      <c r="E152" s="282">
        <v>105000</v>
      </c>
      <c r="F152" s="277" t="s">
        <v>686</v>
      </c>
      <c r="G152" s="277" t="s">
        <v>644</v>
      </c>
    </row>
    <row r="153" spans="2:7">
      <c r="B153" s="277">
        <v>148</v>
      </c>
      <c r="C153" s="278" t="s">
        <v>801</v>
      </c>
      <c r="D153" s="277" t="s">
        <v>796</v>
      </c>
      <c r="E153" s="282">
        <v>57000</v>
      </c>
      <c r="F153" s="277" t="s">
        <v>686</v>
      </c>
      <c r="G153" s="277" t="s">
        <v>644</v>
      </c>
    </row>
    <row r="154" spans="2:7">
      <c r="B154" s="277">
        <v>149</v>
      </c>
      <c r="C154" s="278" t="s">
        <v>802</v>
      </c>
      <c r="D154" s="277" t="s">
        <v>757</v>
      </c>
      <c r="E154" s="282">
        <v>350000</v>
      </c>
      <c r="F154" s="277" t="s">
        <v>686</v>
      </c>
      <c r="G154" s="277" t="s">
        <v>644</v>
      </c>
    </row>
    <row r="155" spans="2:7">
      <c r="B155" s="277">
        <v>150</v>
      </c>
      <c r="C155" s="278" t="s">
        <v>803</v>
      </c>
      <c r="D155" s="277" t="s">
        <v>759</v>
      </c>
      <c r="E155" s="282">
        <v>535000</v>
      </c>
      <c r="F155" s="277" t="s">
        <v>686</v>
      </c>
      <c r="G155" s="277" t="s">
        <v>644</v>
      </c>
    </row>
    <row r="156" spans="2:7">
      <c r="B156" s="277">
        <v>151</v>
      </c>
      <c r="C156" s="278" t="s">
        <v>804</v>
      </c>
      <c r="D156" s="277" t="s">
        <v>670</v>
      </c>
      <c r="E156" s="282">
        <v>23000</v>
      </c>
      <c r="F156" s="277" t="s">
        <v>686</v>
      </c>
      <c r="G156" s="277" t="s">
        <v>644</v>
      </c>
    </row>
    <row r="157" spans="2:7">
      <c r="B157" s="277">
        <v>152</v>
      </c>
      <c r="C157" s="278" t="s">
        <v>805</v>
      </c>
      <c r="D157" s="277" t="s">
        <v>670</v>
      </c>
      <c r="E157" s="282">
        <v>17000</v>
      </c>
      <c r="F157" s="277" t="s">
        <v>686</v>
      </c>
      <c r="G157" s="277" t="s">
        <v>644</v>
      </c>
    </row>
    <row r="158" spans="2:7">
      <c r="B158" s="277">
        <v>153</v>
      </c>
      <c r="C158" s="278" t="s">
        <v>806</v>
      </c>
      <c r="D158" s="277" t="s">
        <v>670</v>
      </c>
      <c r="E158" s="282">
        <v>23000</v>
      </c>
      <c r="F158" s="277" t="s">
        <v>686</v>
      </c>
      <c r="G158" s="277" t="s">
        <v>644</v>
      </c>
    </row>
    <row r="159" spans="2:7">
      <c r="B159" s="277">
        <v>154</v>
      </c>
      <c r="C159" s="278" t="s">
        <v>807</v>
      </c>
      <c r="D159" s="277" t="s">
        <v>670</v>
      </c>
      <c r="E159" s="282">
        <v>35000</v>
      </c>
      <c r="F159" s="277" t="s">
        <v>686</v>
      </c>
      <c r="G159" s="277" t="s">
        <v>644</v>
      </c>
    </row>
    <row r="160" spans="2:7">
      <c r="B160" s="277">
        <v>155</v>
      </c>
      <c r="C160" s="278" t="s">
        <v>808</v>
      </c>
      <c r="D160" s="277" t="s">
        <v>7</v>
      </c>
      <c r="E160" s="282">
        <v>28000</v>
      </c>
      <c r="F160" s="277" t="s">
        <v>686</v>
      </c>
      <c r="G160" s="277" t="s">
        <v>644</v>
      </c>
    </row>
    <row r="161" spans="2:7">
      <c r="B161" s="277">
        <v>156</v>
      </c>
      <c r="C161" s="278" t="s">
        <v>317</v>
      </c>
      <c r="D161" s="277" t="s">
        <v>705</v>
      </c>
      <c r="E161" s="282">
        <v>6000</v>
      </c>
      <c r="F161" s="277" t="s">
        <v>686</v>
      </c>
      <c r="G161" s="277" t="s">
        <v>644</v>
      </c>
    </row>
    <row r="162" spans="2:7">
      <c r="B162" s="277">
        <v>157</v>
      </c>
      <c r="C162" s="278" t="s">
        <v>809</v>
      </c>
      <c r="D162" s="277" t="s">
        <v>7</v>
      </c>
      <c r="E162" s="282">
        <v>4500</v>
      </c>
      <c r="F162" s="277" t="s">
        <v>686</v>
      </c>
      <c r="G162" s="277" t="s">
        <v>644</v>
      </c>
    </row>
    <row r="163" spans="2:7">
      <c r="B163" s="277">
        <v>158</v>
      </c>
      <c r="C163" s="278" t="s">
        <v>810</v>
      </c>
      <c r="D163" s="277" t="s">
        <v>700</v>
      </c>
      <c r="E163" s="282">
        <v>43000</v>
      </c>
      <c r="F163" s="277" t="s">
        <v>686</v>
      </c>
      <c r="G163" s="277" t="s">
        <v>644</v>
      </c>
    </row>
    <row r="164" spans="2:7">
      <c r="B164" s="277">
        <v>159</v>
      </c>
      <c r="C164" s="278" t="s">
        <v>811</v>
      </c>
      <c r="D164" s="277" t="s">
        <v>739</v>
      </c>
      <c r="E164" s="282">
        <v>417500</v>
      </c>
      <c r="F164" s="277" t="s">
        <v>686</v>
      </c>
      <c r="G164" s="277" t="s">
        <v>644</v>
      </c>
    </row>
    <row r="165" spans="2:7">
      <c r="B165" s="277">
        <v>160</v>
      </c>
      <c r="C165" s="278" t="s">
        <v>812</v>
      </c>
      <c r="D165" s="277" t="s">
        <v>694</v>
      </c>
      <c r="E165" s="282">
        <v>65000</v>
      </c>
      <c r="F165" s="277" t="s">
        <v>686</v>
      </c>
      <c r="G165" s="277" t="s">
        <v>644</v>
      </c>
    </row>
    <row r="166" spans="2:7">
      <c r="B166" s="277">
        <v>170</v>
      </c>
      <c r="C166" s="278" t="s">
        <v>813</v>
      </c>
      <c r="D166" s="277" t="s">
        <v>133</v>
      </c>
      <c r="E166" s="282">
        <v>70000</v>
      </c>
      <c r="F166" s="277" t="s">
        <v>814</v>
      </c>
      <c r="G166" s="277" t="s">
        <v>815</v>
      </c>
    </row>
    <row r="167" spans="2:7">
      <c r="B167" s="277">
        <v>171</v>
      </c>
      <c r="C167" s="278" t="s">
        <v>816</v>
      </c>
      <c r="D167" s="277" t="s">
        <v>20</v>
      </c>
      <c r="E167" s="285">
        <v>114.8</v>
      </c>
      <c r="F167" s="277" t="s">
        <v>817</v>
      </c>
      <c r="G167" s="277" t="s">
        <v>815</v>
      </c>
    </row>
    <row r="168" spans="2:7">
      <c r="B168" s="277">
        <v>172</v>
      </c>
      <c r="C168" s="278" t="s">
        <v>818</v>
      </c>
      <c r="D168" s="277" t="s">
        <v>40</v>
      </c>
      <c r="E168" s="282">
        <v>138000</v>
      </c>
      <c r="F168" s="277" t="s">
        <v>814</v>
      </c>
      <c r="G168" s="277" t="s">
        <v>815</v>
      </c>
    </row>
    <row r="169" spans="2:7">
      <c r="B169" s="277">
        <v>173</v>
      </c>
      <c r="C169" s="278" t="s">
        <v>819</v>
      </c>
      <c r="D169" s="277" t="s">
        <v>40</v>
      </c>
      <c r="E169" s="282">
        <v>2092200</v>
      </c>
      <c r="F169" s="277" t="s">
        <v>814</v>
      </c>
      <c r="G169" s="277" t="s">
        <v>815</v>
      </c>
    </row>
    <row r="170" spans="2:7">
      <c r="B170" s="277">
        <v>174</v>
      </c>
      <c r="C170" s="278" t="s">
        <v>820</v>
      </c>
      <c r="D170" s="277" t="s">
        <v>40</v>
      </c>
      <c r="E170" s="282">
        <v>2092200</v>
      </c>
      <c r="F170" s="277" t="s">
        <v>814</v>
      </c>
      <c r="G170" s="277" t="s">
        <v>815</v>
      </c>
    </row>
    <row r="171" spans="2:7">
      <c r="B171" s="277">
        <v>175</v>
      </c>
      <c r="C171" s="278" t="s">
        <v>821</v>
      </c>
      <c r="D171" s="277" t="s">
        <v>167</v>
      </c>
      <c r="E171" s="282">
        <v>44000</v>
      </c>
      <c r="F171" s="277" t="s">
        <v>814</v>
      </c>
      <c r="G171" s="277" t="s">
        <v>815</v>
      </c>
    </row>
    <row r="172" spans="2:7">
      <c r="B172" s="277">
        <v>176</v>
      </c>
      <c r="C172" s="278" t="s">
        <v>822</v>
      </c>
      <c r="D172" s="277" t="s">
        <v>39</v>
      </c>
      <c r="E172" s="282">
        <v>110</v>
      </c>
      <c r="F172" s="277" t="s">
        <v>814</v>
      </c>
      <c r="G172" s="277" t="s">
        <v>815</v>
      </c>
    </row>
    <row r="173" spans="2:7">
      <c r="B173" s="277">
        <v>177</v>
      </c>
      <c r="C173" s="278" t="s">
        <v>823</v>
      </c>
      <c r="D173" s="277" t="s">
        <v>824</v>
      </c>
      <c r="E173" s="282">
        <v>129258</v>
      </c>
      <c r="F173" s="277" t="s">
        <v>814</v>
      </c>
      <c r="G173" s="277" t="s">
        <v>815</v>
      </c>
    </row>
    <row r="174" spans="2:7">
      <c r="B174" s="277">
        <v>178</v>
      </c>
      <c r="C174" s="278" t="s">
        <v>825</v>
      </c>
      <c r="D174" s="277" t="s">
        <v>34</v>
      </c>
      <c r="E174" s="282">
        <v>880</v>
      </c>
      <c r="F174" s="277" t="s">
        <v>814</v>
      </c>
      <c r="G174" s="277" t="s">
        <v>815</v>
      </c>
    </row>
    <row r="175" spans="2:7">
      <c r="B175" s="277">
        <v>179</v>
      </c>
      <c r="C175" s="278" t="s">
        <v>826</v>
      </c>
      <c r="D175" s="277" t="s">
        <v>20</v>
      </c>
      <c r="E175" s="286">
        <v>1592.8</v>
      </c>
      <c r="F175" s="277" t="s">
        <v>814</v>
      </c>
      <c r="G175" s="277" t="s">
        <v>815</v>
      </c>
    </row>
    <row r="176" spans="2:7">
      <c r="B176" s="277">
        <v>180</v>
      </c>
      <c r="C176" s="278" t="s">
        <v>827</v>
      </c>
      <c r="D176" s="277" t="s">
        <v>20</v>
      </c>
      <c r="E176" s="282">
        <v>13068</v>
      </c>
      <c r="F176" s="277" t="s">
        <v>814</v>
      </c>
      <c r="G176" s="277" t="s">
        <v>815</v>
      </c>
    </row>
    <row r="177" spans="2:7">
      <c r="B177" s="277">
        <v>181</v>
      </c>
      <c r="C177" s="278" t="s">
        <v>828</v>
      </c>
      <c r="D177" s="277" t="s">
        <v>40</v>
      </c>
      <c r="E177" s="282">
        <v>16500</v>
      </c>
      <c r="F177" s="277" t="s">
        <v>814</v>
      </c>
      <c r="G177" s="277" t="s">
        <v>815</v>
      </c>
    </row>
    <row r="178" spans="2:7">
      <c r="B178" s="277">
        <v>182</v>
      </c>
      <c r="C178" s="278" t="s">
        <v>829</v>
      </c>
      <c r="D178" s="277" t="s">
        <v>20</v>
      </c>
      <c r="E178" s="282">
        <v>11000</v>
      </c>
      <c r="F178" s="277" t="s">
        <v>814</v>
      </c>
      <c r="G178" s="277" t="s">
        <v>815</v>
      </c>
    </row>
    <row r="179" spans="2:7">
      <c r="B179" s="277">
        <v>183</v>
      </c>
      <c r="C179" s="278" t="s">
        <v>830</v>
      </c>
      <c r="D179" s="277" t="s">
        <v>197</v>
      </c>
      <c r="E179" s="282">
        <v>7040</v>
      </c>
      <c r="F179" s="277" t="s">
        <v>814</v>
      </c>
      <c r="G179" s="277" t="s">
        <v>815</v>
      </c>
    </row>
    <row r="180" spans="2:7">
      <c r="B180" s="277">
        <v>184</v>
      </c>
      <c r="C180" s="278" t="s">
        <v>831</v>
      </c>
      <c r="D180" s="277" t="s">
        <v>40</v>
      </c>
      <c r="E180" s="282">
        <v>1178562</v>
      </c>
      <c r="F180" s="277" t="s">
        <v>814</v>
      </c>
      <c r="G180" s="277" t="s">
        <v>815</v>
      </c>
    </row>
    <row r="181" spans="2:7">
      <c r="B181" s="277">
        <v>185</v>
      </c>
      <c r="C181" s="278" t="s">
        <v>832</v>
      </c>
      <c r="D181" s="277" t="s">
        <v>34</v>
      </c>
      <c r="E181" s="285">
        <v>13.53</v>
      </c>
      <c r="F181" s="277" t="s">
        <v>814</v>
      </c>
      <c r="G181" s="277" t="s">
        <v>815</v>
      </c>
    </row>
    <row r="182" spans="2:7">
      <c r="B182" s="277">
        <v>186</v>
      </c>
      <c r="C182" s="278" t="s">
        <v>833</v>
      </c>
      <c r="D182" s="277" t="s">
        <v>834</v>
      </c>
      <c r="E182" s="282">
        <v>16500</v>
      </c>
      <c r="F182" s="277" t="s">
        <v>814</v>
      </c>
      <c r="G182" s="277" t="s">
        <v>815</v>
      </c>
    </row>
    <row r="183" spans="2:7">
      <c r="B183" s="277">
        <v>187</v>
      </c>
      <c r="C183" s="278" t="s">
        <v>835</v>
      </c>
      <c r="D183" s="277" t="s">
        <v>23</v>
      </c>
      <c r="E183" s="282">
        <v>66440</v>
      </c>
      <c r="F183" s="277" t="s">
        <v>814</v>
      </c>
      <c r="G183" s="277" t="s">
        <v>815</v>
      </c>
    </row>
    <row r="184" spans="2:7">
      <c r="B184" s="277">
        <v>188</v>
      </c>
      <c r="C184" s="278" t="s">
        <v>836</v>
      </c>
      <c r="D184" s="277" t="s">
        <v>837</v>
      </c>
      <c r="E184" s="282">
        <v>133100</v>
      </c>
      <c r="F184" s="277" t="s">
        <v>814</v>
      </c>
      <c r="G184" s="277" t="s">
        <v>815</v>
      </c>
    </row>
    <row r="185" spans="2:7">
      <c r="B185" s="277">
        <v>189</v>
      </c>
      <c r="C185" s="278" t="s">
        <v>838</v>
      </c>
      <c r="D185" s="277" t="s">
        <v>20</v>
      </c>
      <c r="E185" s="282">
        <v>24640</v>
      </c>
      <c r="F185" s="277" t="s">
        <v>814</v>
      </c>
      <c r="G185" s="277" t="s">
        <v>815</v>
      </c>
    </row>
    <row r="186" spans="2:7">
      <c r="B186" s="277">
        <v>190</v>
      </c>
      <c r="C186" s="278" t="s">
        <v>839</v>
      </c>
      <c r="D186" s="277" t="s">
        <v>20</v>
      </c>
      <c r="E186" s="282">
        <v>18700</v>
      </c>
      <c r="F186" s="277" t="s">
        <v>814</v>
      </c>
      <c r="G186" s="277" t="s">
        <v>815</v>
      </c>
    </row>
    <row r="187" spans="2:7">
      <c r="B187" s="277">
        <v>191</v>
      </c>
      <c r="C187" s="278" t="s">
        <v>840</v>
      </c>
      <c r="D187" s="277" t="s">
        <v>20</v>
      </c>
      <c r="E187" s="282">
        <v>25575</v>
      </c>
      <c r="F187" s="277" t="s">
        <v>814</v>
      </c>
      <c r="G187" s="277" t="s">
        <v>815</v>
      </c>
    </row>
    <row r="188" spans="2:7">
      <c r="B188" s="277">
        <v>192</v>
      </c>
      <c r="C188" s="278" t="s">
        <v>841</v>
      </c>
      <c r="D188" s="277" t="s">
        <v>20</v>
      </c>
      <c r="E188" s="282">
        <v>1189</v>
      </c>
      <c r="F188" s="277" t="s">
        <v>814</v>
      </c>
      <c r="G188" s="277" t="s">
        <v>815</v>
      </c>
    </row>
    <row r="189" spans="2:7">
      <c r="B189" s="277">
        <v>193</v>
      </c>
      <c r="C189" s="278" t="s">
        <v>842</v>
      </c>
      <c r="D189" s="277" t="s">
        <v>151</v>
      </c>
      <c r="E189" s="282">
        <v>3223</v>
      </c>
      <c r="F189" s="277" t="s">
        <v>814</v>
      </c>
      <c r="G189" s="277" t="s">
        <v>815</v>
      </c>
    </row>
    <row r="190" spans="2:7">
      <c r="B190" s="277">
        <v>194</v>
      </c>
      <c r="C190" s="278" t="s">
        <v>843</v>
      </c>
      <c r="D190" s="277" t="s">
        <v>40</v>
      </c>
      <c r="E190" s="282">
        <v>84332</v>
      </c>
      <c r="F190" s="277" t="s">
        <v>814</v>
      </c>
      <c r="G190" s="277" t="s">
        <v>815</v>
      </c>
    </row>
    <row r="191" spans="2:7">
      <c r="B191" s="277">
        <v>195</v>
      </c>
      <c r="C191" s="278" t="s">
        <v>844</v>
      </c>
      <c r="D191" s="277" t="s">
        <v>40</v>
      </c>
      <c r="E191" s="282">
        <v>1895410</v>
      </c>
      <c r="F191" s="277" t="s">
        <v>814</v>
      </c>
      <c r="G191" s="277" t="s">
        <v>815</v>
      </c>
    </row>
    <row r="192" spans="2:7">
      <c r="B192" s="277">
        <v>196</v>
      </c>
      <c r="C192" s="278" t="s">
        <v>845</v>
      </c>
      <c r="D192" s="277" t="s">
        <v>23</v>
      </c>
      <c r="E192" s="282">
        <v>3602</v>
      </c>
      <c r="F192" s="277" t="s">
        <v>814</v>
      </c>
      <c r="G192" s="277" t="s">
        <v>815</v>
      </c>
    </row>
    <row r="193" spans="2:7">
      <c r="B193" s="277">
        <v>197</v>
      </c>
      <c r="C193" s="278" t="s">
        <v>846</v>
      </c>
      <c r="D193" s="277" t="s">
        <v>40</v>
      </c>
      <c r="E193" s="282">
        <v>460411</v>
      </c>
      <c r="F193" s="277" t="s">
        <v>814</v>
      </c>
      <c r="G193" s="277" t="s">
        <v>815</v>
      </c>
    </row>
    <row r="194" spans="2:7">
      <c r="B194" s="277">
        <v>198</v>
      </c>
      <c r="C194" s="278" t="s">
        <v>847</v>
      </c>
      <c r="D194" s="277" t="s">
        <v>40</v>
      </c>
      <c r="E194" s="282">
        <v>30690</v>
      </c>
      <c r="F194" s="277" t="s">
        <v>814</v>
      </c>
      <c r="G194" s="277" t="s">
        <v>815</v>
      </c>
    </row>
    <row r="195" spans="2:7">
      <c r="B195" s="277">
        <v>199</v>
      </c>
      <c r="C195" s="278" t="s">
        <v>848</v>
      </c>
      <c r="D195" s="277" t="s">
        <v>40</v>
      </c>
      <c r="E195" s="282">
        <v>92070</v>
      </c>
      <c r="F195" s="277" t="s">
        <v>814</v>
      </c>
      <c r="G195" s="277" t="s">
        <v>815</v>
      </c>
    </row>
    <row r="196" spans="2:7">
      <c r="B196" s="278"/>
      <c r="C196" s="278"/>
      <c r="D196" s="278"/>
      <c r="E196" s="278"/>
      <c r="F196" s="278"/>
      <c r="G196" s="278"/>
    </row>
  </sheetData>
  <mergeCells count="2">
    <mergeCell ref="B2:G2"/>
    <mergeCell ref="J5:M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66"/>
  <sheetViews>
    <sheetView view="pageBreakPreview" zoomScale="89" zoomScaleSheetLayoutView="89" workbookViewId="0">
      <selection activeCell="K15" sqref="K15"/>
    </sheetView>
  </sheetViews>
  <sheetFormatPr defaultRowHeight="14.25"/>
  <cols>
    <col min="1" max="1" width="7.28515625" style="119" customWidth="1"/>
    <col min="2" max="2" width="49.85546875" style="119" customWidth="1"/>
    <col min="3" max="3" width="8" style="121" bestFit="1" customWidth="1"/>
    <col min="4" max="4" width="9.85546875" style="121" bestFit="1" customWidth="1"/>
    <col min="5" max="5" width="20.140625" style="120" bestFit="1" customWidth="1"/>
    <col min="6" max="6" width="2.42578125" style="119" customWidth="1"/>
    <col min="7" max="7" width="15.85546875" style="120" bestFit="1" customWidth="1"/>
    <col min="8" max="9" width="9.28515625" style="120" bestFit="1" customWidth="1"/>
    <col min="10" max="10" width="12.7109375" style="120" bestFit="1" customWidth="1"/>
    <col min="11" max="16384" width="9.140625" style="119"/>
  </cols>
  <sheetData>
    <row r="1" spans="1:5" ht="15.75">
      <c r="A1" s="287"/>
      <c r="B1" s="287"/>
      <c r="C1" s="288"/>
      <c r="D1" s="288"/>
      <c r="E1" s="289"/>
    </row>
    <row r="2" spans="1:5" ht="15.75">
      <c r="A2" s="666" t="s">
        <v>331</v>
      </c>
      <c r="B2" s="666"/>
      <c r="C2" s="666"/>
      <c r="D2" s="666"/>
      <c r="E2" s="666"/>
    </row>
    <row r="3" spans="1:5" ht="15.75">
      <c r="A3" s="666" t="s">
        <v>332</v>
      </c>
      <c r="B3" s="666"/>
      <c r="C3" s="666"/>
      <c r="D3" s="666"/>
      <c r="E3" s="666"/>
    </row>
    <row r="4" spans="1:5" ht="16.5" thickBot="1">
      <c r="A4" s="287"/>
      <c r="B4" s="287"/>
      <c r="C4" s="288"/>
      <c r="D4" s="288"/>
      <c r="E4" s="289"/>
    </row>
    <row r="5" spans="1:5" ht="16.5" thickTop="1">
      <c r="A5" s="667" t="s">
        <v>0</v>
      </c>
      <c r="B5" s="669" t="s">
        <v>333</v>
      </c>
      <c r="C5" s="503"/>
      <c r="D5" s="669" t="s">
        <v>334</v>
      </c>
      <c r="E5" s="504" t="s">
        <v>335</v>
      </c>
    </row>
    <row r="6" spans="1:5" ht="16.5" thickBot="1">
      <c r="A6" s="668"/>
      <c r="B6" s="670"/>
      <c r="C6" s="505"/>
      <c r="D6" s="670"/>
      <c r="E6" s="506" t="s">
        <v>336</v>
      </c>
    </row>
    <row r="7" spans="1:5" ht="16.5" thickTop="1">
      <c r="A7" s="290"/>
      <c r="B7" s="291"/>
      <c r="C7" s="292"/>
      <c r="D7" s="292"/>
      <c r="E7" s="293" t="s">
        <v>337</v>
      </c>
    </row>
    <row r="8" spans="1:5" ht="15.75">
      <c r="A8" s="294" t="s">
        <v>83</v>
      </c>
      <c r="B8" s="295" t="s">
        <v>850</v>
      </c>
      <c r="C8" s="292"/>
      <c r="D8" s="292"/>
      <c r="E8" s="296"/>
    </row>
    <row r="9" spans="1:5" ht="15.75">
      <c r="A9" s="290">
        <v>1</v>
      </c>
      <c r="B9" s="291" t="s">
        <v>3</v>
      </c>
      <c r="C9" s="292"/>
      <c r="D9" s="292" t="s">
        <v>338</v>
      </c>
      <c r="E9" s="297">
        <v>100000</v>
      </c>
    </row>
    <row r="10" spans="1:5" ht="15.75">
      <c r="A10" s="290">
        <v>2</v>
      </c>
      <c r="B10" s="291" t="s">
        <v>4</v>
      </c>
      <c r="C10" s="292"/>
      <c r="D10" s="292" t="s">
        <v>338</v>
      </c>
      <c r="E10" s="297">
        <v>99000</v>
      </c>
    </row>
    <row r="11" spans="1:5" ht="15.75">
      <c r="A11" s="290">
        <v>3</v>
      </c>
      <c r="B11" s="291" t="s">
        <v>10</v>
      </c>
      <c r="C11" s="292"/>
      <c r="D11" s="292" t="s">
        <v>338</v>
      </c>
      <c r="E11" s="297">
        <f>ROUND(90000*100/110,-3)</f>
        <v>82000</v>
      </c>
    </row>
    <row r="12" spans="1:5" ht="15.75">
      <c r="A12" s="290">
        <v>4</v>
      </c>
      <c r="B12" s="291" t="s">
        <v>5</v>
      </c>
      <c r="C12" s="292"/>
      <c r="D12" s="292" t="s">
        <v>338</v>
      </c>
      <c r="E12" s="298">
        <f>E11</f>
        <v>82000</v>
      </c>
    </row>
    <row r="13" spans="1:5" ht="15.75">
      <c r="A13" s="290">
        <v>5</v>
      </c>
      <c r="B13" s="291" t="s">
        <v>339</v>
      </c>
      <c r="C13" s="292"/>
      <c r="D13" s="292" t="s">
        <v>338</v>
      </c>
      <c r="E13" s="298">
        <f t="shared" ref="E13:E16" si="0">E12</f>
        <v>82000</v>
      </c>
    </row>
    <row r="14" spans="1:5" ht="15.75">
      <c r="A14" s="290">
        <v>6</v>
      </c>
      <c r="B14" s="291" t="s">
        <v>340</v>
      </c>
      <c r="C14" s="292"/>
      <c r="D14" s="292" t="s">
        <v>338</v>
      </c>
      <c r="E14" s="298">
        <f t="shared" si="0"/>
        <v>82000</v>
      </c>
    </row>
    <row r="15" spans="1:5" ht="15.75">
      <c r="A15" s="290">
        <v>7</v>
      </c>
      <c r="B15" s="291" t="s">
        <v>341</v>
      </c>
      <c r="C15" s="292"/>
      <c r="D15" s="292" t="s">
        <v>338</v>
      </c>
      <c r="E15" s="298">
        <f t="shared" si="0"/>
        <v>82000</v>
      </c>
    </row>
    <row r="16" spans="1:5" ht="15.75">
      <c r="A16" s="290">
        <v>8</v>
      </c>
      <c r="B16" s="291" t="s">
        <v>19</v>
      </c>
      <c r="C16" s="292"/>
      <c r="D16" s="292" t="s">
        <v>338</v>
      </c>
      <c r="E16" s="298">
        <f t="shared" si="0"/>
        <v>82000</v>
      </c>
    </row>
    <row r="17" spans="1:7" ht="15.75">
      <c r="A17" s="290">
        <v>9</v>
      </c>
      <c r="B17" s="291" t="s">
        <v>342</v>
      </c>
      <c r="C17" s="292"/>
      <c r="D17" s="292" t="s">
        <v>338</v>
      </c>
      <c r="E17" s="297">
        <v>90000</v>
      </c>
    </row>
    <row r="18" spans="1:7" ht="15.75">
      <c r="A18" s="290">
        <v>10</v>
      </c>
      <c r="B18" s="291" t="s">
        <v>6</v>
      </c>
      <c r="C18" s="292"/>
      <c r="D18" s="292" t="s">
        <v>338</v>
      </c>
      <c r="E18" s="297">
        <v>71000</v>
      </c>
    </row>
    <row r="19" spans="1:7" ht="15.75">
      <c r="A19" s="290">
        <v>11</v>
      </c>
      <c r="B19" s="291" t="s">
        <v>343</v>
      </c>
      <c r="C19" s="292"/>
      <c r="D19" s="292" t="s">
        <v>338</v>
      </c>
      <c r="E19" s="297">
        <v>90000</v>
      </c>
    </row>
    <row r="20" spans="1:7" ht="15.75">
      <c r="A20" s="290">
        <v>12</v>
      </c>
      <c r="B20" s="291" t="s">
        <v>344</v>
      </c>
      <c r="C20" s="292"/>
      <c r="D20" s="292" t="s">
        <v>338</v>
      </c>
      <c r="E20" s="297">
        <v>79000</v>
      </c>
    </row>
    <row r="21" spans="1:7" ht="15.75">
      <c r="A21" s="290">
        <v>13</v>
      </c>
      <c r="B21" s="291" t="s">
        <v>345</v>
      </c>
      <c r="C21" s="292"/>
      <c r="D21" s="292" t="s">
        <v>338</v>
      </c>
      <c r="E21" s="297">
        <f>ROUND(80000*100/110,-3)</f>
        <v>73000</v>
      </c>
    </row>
    <row r="22" spans="1:7" ht="15.75">
      <c r="A22" s="290"/>
      <c r="B22" s="291"/>
      <c r="C22" s="292"/>
      <c r="D22" s="292"/>
      <c r="E22" s="296"/>
    </row>
    <row r="23" spans="1:7" ht="15.75">
      <c r="A23" s="294" t="s">
        <v>90</v>
      </c>
      <c r="B23" s="295" t="s">
        <v>851</v>
      </c>
      <c r="C23" s="292"/>
      <c r="D23" s="292"/>
      <c r="E23" s="296"/>
    </row>
    <row r="24" spans="1:7" ht="15.75">
      <c r="A24" s="290">
        <v>1</v>
      </c>
      <c r="B24" s="291" t="s">
        <v>100</v>
      </c>
      <c r="C24" s="292" t="s">
        <v>101</v>
      </c>
      <c r="D24" s="292" t="s">
        <v>102</v>
      </c>
      <c r="E24" s="296">
        <f>ROUND(G24*100/110,-1)</f>
        <v>115000</v>
      </c>
      <c r="G24" s="120">
        <f>[1]Bahan!$G$13</f>
        <v>126500</v>
      </c>
    </row>
    <row r="25" spans="1:7" ht="15.75">
      <c r="A25" s="290">
        <f>A24+1</f>
        <v>2</v>
      </c>
      <c r="B25" s="291" t="s">
        <v>103</v>
      </c>
      <c r="C25" s="292" t="s">
        <v>104</v>
      </c>
      <c r="D25" s="292" t="s">
        <v>102</v>
      </c>
      <c r="E25" s="296">
        <f>ROUND(G25,-1)</f>
        <v>136500</v>
      </c>
      <c r="G25" s="120">
        <f>[1]Bahan!$G$19</f>
        <v>136500</v>
      </c>
    </row>
    <row r="26" spans="1:7" ht="15.75">
      <c r="A26" s="290">
        <f t="shared" ref="A26:A89" si="1">A25+1</f>
        <v>3</v>
      </c>
      <c r="B26" s="291" t="s">
        <v>105</v>
      </c>
      <c r="C26" s="292"/>
      <c r="D26" s="292" t="s">
        <v>102</v>
      </c>
      <c r="E26" s="296">
        <f t="shared" ref="E26" si="2">ROUND(G26,-1)</f>
        <v>121500</v>
      </c>
      <c r="G26" s="120">
        <f>[1]Bahan!$G$16</f>
        <v>121500</v>
      </c>
    </row>
    <row r="27" spans="1:7" ht="15.75" hidden="1">
      <c r="A27" s="299"/>
      <c r="B27" s="300" t="s">
        <v>106</v>
      </c>
      <c r="C27" s="301" t="s">
        <v>107</v>
      </c>
      <c r="D27" s="301" t="s">
        <v>102</v>
      </c>
      <c r="E27" s="302"/>
    </row>
    <row r="28" spans="1:7" ht="15.75">
      <c r="A28" s="290">
        <f>A26+1</f>
        <v>4</v>
      </c>
      <c r="B28" s="291" t="s">
        <v>108</v>
      </c>
      <c r="C28" s="292" t="s">
        <v>109</v>
      </c>
      <c r="D28" s="292" t="s">
        <v>102</v>
      </c>
      <c r="E28" s="296">
        <f>ROUND(G28*100/110,-1)</f>
        <v>101360</v>
      </c>
      <c r="G28" s="120">
        <f>[1]Bahan!$G$14</f>
        <v>111500</v>
      </c>
    </row>
    <row r="29" spans="1:7" ht="15.75" hidden="1">
      <c r="A29" s="299"/>
      <c r="B29" s="300" t="s">
        <v>110</v>
      </c>
      <c r="C29" s="301" t="s">
        <v>111</v>
      </c>
      <c r="D29" s="301" t="s">
        <v>102</v>
      </c>
      <c r="E29" s="302"/>
    </row>
    <row r="30" spans="1:7" ht="15.75" hidden="1">
      <c r="A30" s="299"/>
      <c r="B30" s="300" t="s">
        <v>112</v>
      </c>
      <c r="C30" s="301"/>
      <c r="D30" s="301" t="s">
        <v>102</v>
      </c>
      <c r="E30" s="302"/>
    </row>
    <row r="31" spans="1:7" ht="15.75">
      <c r="A31" s="290">
        <f>A28+1</f>
        <v>5</v>
      </c>
      <c r="B31" s="291" t="s">
        <v>113</v>
      </c>
      <c r="C31" s="292"/>
      <c r="D31" s="292" t="s">
        <v>102</v>
      </c>
      <c r="E31" s="296">
        <f t="shared" ref="E31:E34" si="3">ROUND(G31,-1)</f>
        <v>364500</v>
      </c>
      <c r="G31" s="120">
        <f>[1]Bahan!$G$17*3</f>
        <v>364500</v>
      </c>
    </row>
    <row r="32" spans="1:7" ht="15.75">
      <c r="A32" s="290">
        <f t="shared" si="1"/>
        <v>6</v>
      </c>
      <c r="B32" s="291" t="s">
        <v>114</v>
      </c>
      <c r="C32" s="292"/>
      <c r="D32" s="292" t="s">
        <v>102</v>
      </c>
      <c r="E32" s="296">
        <f t="shared" si="3"/>
        <v>364500</v>
      </c>
      <c r="G32" s="120">
        <f>G31</f>
        <v>364500</v>
      </c>
    </row>
    <row r="33" spans="1:7" ht="15.75">
      <c r="A33" s="290">
        <f t="shared" si="1"/>
        <v>7</v>
      </c>
      <c r="B33" s="291" t="s">
        <v>115</v>
      </c>
      <c r="C33" s="292"/>
      <c r="D33" s="292" t="s">
        <v>102</v>
      </c>
      <c r="E33" s="296">
        <f t="shared" si="3"/>
        <v>364500</v>
      </c>
      <c r="G33" s="120">
        <f t="shared" ref="G33:G34" si="4">G32</f>
        <v>364500</v>
      </c>
    </row>
    <row r="34" spans="1:7" ht="15.75">
      <c r="A34" s="290">
        <f t="shared" si="1"/>
        <v>8</v>
      </c>
      <c r="B34" s="291" t="s">
        <v>116</v>
      </c>
      <c r="C34" s="292"/>
      <c r="D34" s="292" t="s">
        <v>102</v>
      </c>
      <c r="E34" s="296">
        <f t="shared" si="3"/>
        <v>364500</v>
      </c>
      <c r="G34" s="120">
        <f t="shared" si="4"/>
        <v>364500</v>
      </c>
    </row>
    <row r="35" spans="1:7" ht="15.75" hidden="1">
      <c r="A35" s="299"/>
      <c r="B35" s="300" t="s">
        <v>117</v>
      </c>
      <c r="C35" s="301"/>
      <c r="D35" s="301" t="s">
        <v>102</v>
      </c>
      <c r="E35" s="302"/>
    </row>
    <row r="36" spans="1:7" ht="15.75">
      <c r="A36" s="290">
        <f>A34+1</f>
        <v>9</v>
      </c>
      <c r="B36" s="291" t="s">
        <v>118</v>
      </c>
      <c r="C36" s="292" t="s">
        <v>119</v>
      </c>
      <c r="D36" s="292" t="s">
        <v>20</v>
      </c>
      <c r="E36" s="296">
        <f>ROUND(G36*100/110,-1)</f>
        <v>1050</v>
      </c>
      <c r="G36" s="120">
        <f>[1]Bahan!$G$8/50</f>
        <v>1160</v>
      </c>
    </row>
    <row r="37" spans="1:7" ht="15.75">
      <c r="A37" s="290">
        <f t="shared" si="1"/>
        <v>10</v>
      </c>
      <c r="B37" s="291" t="s">
        <v>118</v>
      </c>
      <c r="C37" s="292"/>
      <c r="D37" s="292" t="s">
        <v>120</v>
      </c>
      <c r="E37" s="296">
        <f>E36*50</f>
        <v>52500</v>
      </c>
    </row>
    <row r="38" spans="1:7" ht="15.75" hidden="1">
      <c r="A38" s="299"/>
      <c r="B38" s="300" t="s">
        <v>121</v>
      </c>
      <c r="C38" s="301"/>
      <c r="D38" s="301" t="s">
        <v>20</v>
      </c>
      <c r="E38" s="302"/>
    </row>
    <row r="39" spans="1:7" ht="15.75" hidden="1">
      <c r="A39" s="299"/>
      <c r="B39" s="300" t="s">
        <v>121</v>
      </c>
      <c r="C39" s="301"/>
      <c r="D39" s="301" t="s">
        <v>120</v>
      </c>
      <c r="E39" s="302">
        <f>E38*40</f>
        <v>0</v>
      </c>
    </row>
    <row r="40" spans="1:7" ht="15.75" hidden="1">
      <c r="A40" s="299"/>
      <c r="B40" s="300" t="s">
        <v>122</v>
      </c>
      <c r="C40" s="301"/>
      <c r="D40" s="301" t="s">
        <v>20</v>
      </c>
      <c r="E40" s="302"/>
    </row>
    <row r="41" spans="1:7" ht="15.75" hidden="1">
      <c r="A41" s="299"/>
      <c r="B41" s="300" t="s">
        <v>123</v>
      </c>
      <c r="C41" s="301"/>
      <c r="D41" s="301" t="s">
        <v>102</v>
      </c>
      <c r="E41" s="302"/>
    </row>
    <row r="42" spans="1:7" ht="15.75" hidden="1">
      <c r="A42" s="299"/>
      <c r="B42" s="300" t="s">
        <v>124</v>
      </c>
      <c r="C42" s="301"/>
      <c r="D42" s="301" t="s">
        <v>102</v>
      </c>
      <c r="E42" s="302"/>
    </row>
    <row r="43" spans="1:7" ht="15.75" hidden="1">
      <c r="A43" s="299"/>
      <c r="B43" s="300" t="s">
        <v>125</v>
      </c>
      <c r="C43" s="301"/>
      <c r="D43" s="301" t="s">
        <v>102</v>
      </c>
      <c r="E43" s="302"/>
    </row>
    <row r="44" spans="1:7" ht="15.75" hidden="1">
      <c r="A44" s="299"/>
      <c r="B44" s="300" t="s">
        <v>126</v>
      </c>
      <c r="C44" s="301"/>
      <c r="D44" s="301" t="s">
        <v>102</v>
      </c>
      <c r="E44" s="302"/>
    </row>
    <row r="45" spans="1:7" ht="15.75">
      <c r="A45" s="290">
        <f>A37+1</f>
        <v>11</v>
      </c>
      <c r="B45" s="291" t="s">
        <v>127</v>
      </c>
      <c r="C45" s="292"/>
      <c r="D45" s="292" t="s">
        <v>102</v>
      </c>
      <c r="E45" s="296">
        <f>ROUND(G45*100/110*0.8,-5)</f>
        <v>1800000</v>
      </c>
      <c r="G45" s="120">
        <f>[1]Bahan!$G$20</f>
        <v>2500000</v>
      </c>
    </row>
    <row r="46" spans="1:7" ht="15.75">
      <c r="A46" s="290">
        <f t="shared" si="1"/>
        <v>12</v>
      </c>
      <c r="B46" s="291" t="s">
        <v>128</v>
      </c>
      <c r="C46" s="292"/>
      <c r="D46" s="292" t="s">
        <v>102</v>
      </c>
      <c r="E46" s="296">
        <f>ROUND(G46*100/110*0.8,-5)</f>
        <v>1800000</v>
      </c>
      <c r="G46" s="120">
        <f>G45</f>
        <v>2500000</v>
      </c>
    </row>
    <row r="47" spans="1:7" ht="15.75">
      <c r="A47" s="290">
        <f t="shared" si="1"/>
        <v>13</v>
      </c>
      <c r="B47" s="291" t="s">
        <v>129</v>
      </c>
      <c r="C47" s="292"/>
      <c r="D47" s="292" t="s">
        <v>102</v>
      </c>
      <c r="E47" s="296">
        <f>ROUND(G47*100/110*0.8,-5)</f>
        <v>1800000</v>
      </c>
      <c r="G47" s="120">
        <f>G46</f>
        <v>2500000</v>
      </c>
    </row>
    <row r="48" spans="1:7" ht="15.75" hidden="1">
      <c r="A48" s="299"/>
      <c r="B48" s="300" t="s">
        <v>130</v>
      </c>
      <c r="C48" s="301"/>
      <c r="D48" s="301" t="s">
        <v>102</v>
      </c>
      <c r="E48" s="302"/>
    </row>
    <row r="49" spans="1:7" ht="15.75" hidden="1">
      <c r="A49" s="299"/>
      <c r="B49" s="300" t="s">
        <v>131</v>
      </c>
      <c r="C49" s="301"/>
      <c r="D49" s="301" t="s">
        <v>102</v>
      </c>
      <c r="E49" s="302"/>
    </row>
    <row r="50" spans="1:7" ht="15.75">
      <c r="A50" s="290">
        <f>A47+1</f>
        <v>14</v>
      </c>
      <c r="B50" s="291" t="s">
        <v>132</v>
      </c>
      <c r="C50" s="292"/>
      <c r="D50" s="292" t="s">
        <v>133</v>
      </c>
      <c r="E50" s="297">
        <f>ROUND(40000*100/110*0.6,-1)</f>
        <v>21820</v>
      </c>
    </row>
    <row r="51" spans="1:7" ht="15.75" hidden="1">
      <c r="A51" s="299"/>
      <c r="B51" s="300" t="s">
        <v>134</v>
      </c>
      <c r="C51" s="301"/>
      <c r="D51" s="301" t="s">
        <v>133</v>
      </c>
      <c r="E51" s="302"/>
    </row>
    <row r="52" spans="1:7" ht="15.75" hidden="1">
      <c r="A52" s="299"/>
      <c r="B52" s="300" t="s">
        <v>134</v>
      </c>
      <c r="C52" s="301"/>
      <c r="D52" s="301" t="s">
        <v>102</v>
      </c>
      <c r="E52" s="302"/>
    </row>
    <row r="53" spans="1:7" ht="15.75">
      <c r="A53" s="290">
        <f>A50+1</f>
        <v>15</v>
      </c>
      <c r="B53" s="291" t="s">
        <v>135</v>
      </c>
      <c r="C53" s="292"/>
      <c r="D53" s="292" t="s">
        <v>136</v>
      </c>
      <c r="E53" s="296">
        <f>ROUND(G53*0.9,-1)</f>
        <v>610</v>
      </c>
      <c r="G53" s="120">
        <f>[1]Bahan!$G$29</f>
        <v>675</v>
      </c>
    </row>
    <row r="54" spans="1:7" ht="15.75" hidden="1">
      <c r="A54" s="299"/>
      <c r="B54" s="300" t="s">
        <v>137</v>
      </c>
      <c r="C54" s="301"/>
      <c r="D54" s="301" t="s">
        <v>136</v>
      </c>
      <c r="E54" s="302"/>
    </row>
    <row r="55" spans="1:7" ht="15.75" hidden="1">
      <c r="A55" s="299"/>
      <c r="B55" s="300" t="s">
        <v>138</v>
      </c>
      <c r="C55" s="301"/>
      <c r="D55" s="301" t="s">
        <v>136</v>
      </c>
      <c r="E55" s="302"/>
    </row>
    <row r="56" spans="1:7" ht="15.75">
      <c r="A56" s="290">
        <f>A53+1</f>
        <v>16</v>
      </c>
      <c r="B56" s="291" t="s">
        <v>139</v>
      </c>
      <c r="C56" s="292" t="s">
        <v>140</v>
      </c>
      <c r="D56" s="292" t="s">
        <v>20</v>
      </c>
      <c r="E56" s="296">
        <f>ROUND(G56,-1)</f>
        <v>10500</v>
      </c>
      <c r="G56" s="120">
        <f>[1]Bahan!$G$23</f>
        <v>10500</v>
      </c>
    </row>
    <row r="57" spans="1:7" ht="15.75" hidden="1">
      <c r="A57" s="299"/>
      <c r="B57" s="300" t="s">
        <v>141</v>
      </c>
      <c r="C57" s="301"/>
      <c r="D57" s="301" t="s">
        <v>20</v>
      </c>
      <c r="E57" s="302"/>
    </row>
    <row r="58" spans="1:7" ht="15.75">
      <c r="A58" s="290">
        <f>A56+1</f>
        <v>17</v>
      </c>
      <c r="B58" s="291" t="s">
        <v>22</v>
      </c>
      <c r="C58" s="292"/>
      <c r="D58" s="292" t="s">
        <v>20</v>
      </c>
      <c r="E58" s="296">
        <v>30000</v>
      </c>
    </row>
    <row r="59" spans="1:7" ht="15.75">
      <c r="A59" s="290">
        <f t="shared" si="1"/>
        <v>18</v>
      </c>
      <c r="B59" s="291" t="s">
        <v>142</v>
      </c>
      <c r="C59" s="292"/>
      <c r="D59" s="292" t="s">
        <v>20</v>
      </c>
      <c r="E59" s="296">
        <v>10725</v>
      </c>
    </row>
    <row r="60" spans="1:7" ht="15.75" hidden="1">
      <c r="A60" s="299"/>
      <c r="B60" s="300" t="s">
        <v>143</v>
      </c>
      <c r="C60" s="301"/>
      <c r="D60" s="301" t="s">
        <v>20</v>
      </c>
      <c r="E60" s="302"/>
    </row>
    <row r="61" spans="1:7" ht="15.75">
      <c r="A61" s="290">
        <f>A59+1</f>
        <v>19</v>
      </c>
      <c r="B61" s="291" t="s">
        <v>144</v>
      </c>
      <c r="C61" s="292" t="s">
        <v>145</v>
      </c>
      <c r="D61" s="292" t="s">
        <v>20</v>
      </c>
      <c r="E61" s="296">
        <f>ROUND(G61*1.15,-1)</f>
        <v>9400</v>
      </c>
      <c r="G61" s="120">
        <f>[1]Bahan!$G$24+[1]Bahan!$G$25</f>
        <v>8175</v>
      </c>
    </row>
    <row r="62" spans="1:7" ht="15.75">
      <c r="A62" s="290">
        <f t="shared" si="1"/>
        <v>20</v>
      </c>
      <c r="B62" s="291" t="s">
        <v>146</v>
      </c>
      <c r="C62" s="292" t="s">
        <v>147</v>
      </c>
      <c r="D62" s="292" t="s">
        <v>20</v>
      </c>
      <c r="E62" s="296">
        <f>ROUND(G62*1.15,-1)</f>
        <v>9400</v>
      </c>
      <c r="G62" s="120">
        <f>G61</f>
        <v>8175</v>
      </c>
    </row>
    <row r="63" spans="1:7" ht="15.75">
      <c r="A63" s="290">
        <f t="shared" si="1"/>
        <v>21</v>
      </c>
      <c r="B63" s="291" t="s">
        <v>148</v>
      </c>
      <c r="C63" s="292" t="s">
        <v>149</v>
      </c>
      <c r="D63" s="292" t="s">
        <v>20</v>
      </c>
      <c r="E63" s="296">
        <f>ROUND(G63*1.15,-1)</f>
        <v>12650</v>
      </c>
      <c r="G63" s="120">
        <f>[1]Bahan!$G$26</f>
        <v>11000</v>
      </c>
    </row>
    <row r="64" spans="1:7" ht="15.75">
      <c r="A64" s="290">
        <f t="shared" si="1"/>
        <v>22</v>
      </c>
      <c r="B64" s="291" t="s">
        <v>150</v>
      </c>
      <c r="C64" s="292"/>
      <c r="D64" s="292" t="s">
        <v>20</v>
      </c>
      <c r="E64" s="296">
        <f>[2]Sheet1!D150</f>
        <v>9300</v>
      </c>
    </row>
    <row r="65" spans="1:7" ht="15.75">
      <c r="A65" s="290">
        <f t="shared" si="1"/>
        <v>23</v>
      </c>
      <c r="B65" s="291" t="s">
        <v>12</v>
      </c>
      <c r="C65" s="292"/>
      <c r="D65" s="292" t="s">
        <v>23</v>
      </c>
      <c r="E65" s="296">
        <f t="shared" ref="E65:E66" si="5">ROUND(G65,-1)</f>
        <v>40290</v>
      </c>
      <c r="G65" s="120">
        <f>[1]Bahan!$G$27</f>
        <v>40288.888888888891</v>
      </c>
    </row>
    <row r="66" spans="1:7" ht="15.75">
      <c r="A66" s="290">
        <f t="shared" si="1"/>
        <v>24</v>
      </c>
      <c r="B66" s="291" t="s">
        <v>13</v>
      </c>
      <c r="C66" s="292"/>
      <c r="D66" s="292" t="s">
        <v>23</v>
      </c>
      <c r="E66" s="296">
        <f t="shared" si="5"/>
        <v>52620</v>
      </c>
      <c r="G66" s="120">
        <f>[1]Bahan!$G$28</f>
        <v>52622.222222222226</v>
      </c>
    </row>
    <row r="67" spans="1:7" ht="15.75">
      <c r="A67" s="290">
        <f t="shared" si="1"/>
        <v>25</v>
      </c>
      <c r="B67" s="291" t="s">
        <v>31</v>
      </c>
      <c r="C67" s="292"/>
      <c r="D67" s="292" t="s">
        <v>151</v>
      </c>
      <c r="E67" s="297">
        <f>ROUND([2]Sheet1!D124*100/110*0.9,-1)</f>
        <v>70360</v>
      </c>
    </row>
    <row r="68" spans="1:7" ht="15.75">
      <c r="A68" s="290">
        <f t="shared" si="1"/>
        <v>26</v>
      </c>
      <c r="B68" s="291" t="s">
        <v>38</v>
      </c>
      <c r="C68" s="292"/>
      <c r="D68" s="292" t="s">
        <v>151</v>
      </c>
      <c r="E68" s="298">
        <f>E67*1.5</f>
        <v>105540</v>
      </c>
    </row>
    <row r="69" spans="1:7" ht="15.75">
      <c r="A69" s="290">
        <f t="shared" si="1"/>
        <v>27</v>
      </c>
      <c r="B69" s="291" t="s">
        <v>152</v>
      </c>
      <c r="C69" s="292"/>
      <c r="D69" s="292" t="s">
        <v>20</v>
      </c>
      <c r="E69" s="297">
        <f>ROUND([2]Sheet1!D256,-1)</f>
        <v>13480</v>
      </c>
    </row>
    <row r="70" spans="1:7" ht="15.75" hidden="1">
      <c r="A70" s="299"/>
      <c r="B70" s="300" t="s">
        <v>153</v>
      </c>
      <c r="C70" s="301"/>
      <c r="D70" s="301" t="s">
        <v>20</v>
      </c>
      <c r="E70" s="302"/>
    </row>
    <row r="71" spans="1:7" ht="15.75">
      <c r="A71" s="290">
        <f>A69+1</f>
        <v>28</v>
      </c>
      <c r="B71" s="291" t="s">
        <v>154</v>
      </c>
      <c r="C71" s="292"/>
      <c r="D71" s="292" t="s">
        <v>20</v>
      </c>
      <c r="E71" s="296">
        <f>[2]Sheet1!D253/5</f>
        <v>6585</v>
      </c>
    </row>
    <row r="72" spans="1:7" ht="15.75" hidden="1">
      <c r="A72" s="299"/>
      <c r="B72" s="300" t="s">
        <v>155</v>
      </c>
      <c r="C72" s="301"/>
      <c r="D72" s="301" t="s">
        <v>20</v>
      </c>
      <c r="E72" s="302"/>
    </row>
    <row r="73" spans="1:7" ht="15.75">
      <c r="A73" s="290">
        <f>A71+1</f>
        <v>29</v>
      </c>
      <c r="B73" s="291" t="s">
        <v>156</v>
      </c>
      <c r="C73" s="292"/>
      <c r="D73" s="292" t="s">
        <v>20</v>
      </c>
      <c r="E73" s="297">
        <f>ROUND([2]Sheet1!D270/3,-1)</f>
        <v>15690</v>
      </c>
    </row>
    <row r="74" spans="1:7" ht="15.75">
      <c r="A74" s="290">
        <f t="shared" si="1"/>
        <v>30</v>
      </c>
      <c r="B74" s="291" t="s">
        <v>157</v>
      </c>
      <c r="C74" s="292"/>
      <c r="D74" s="292" t="s">
        <v>20</v>
      </c>
      <c r="E74" s="296">
        <f>[2]Sheet1!D271/3</f>
        <v>18000</v>
      </c>
    </row>
    <row r="75" spans="1:7" ht="15.75">
      <c r="A75" s="290">
        <f t="shared" si="1"/>
        <v>31</v>
      </c>
      <c r="B75" s="291" t="s">
        <v>158</v>
      </c>
      <c r="C75" s="292" t="s">
        <v>159</v>
      </c>
      <c r="D75" s="292" t="s">
        <v>20</v>
      </c>
      <c r="E75" s="296">
        <f>[2]Sheet1!D262/2</f>
        <v>17500</v>
      </c>
    </row>
    <row r="76" spans="1:7" ht="15.75" hidden="1">
      <c r="A76" s="299"/>
      <c r="B76" s="300" t="s">
        <v>160</v>
      </c>
      <c r="C76" s="301"/>
      <c r="D76" s="301" t="s">
        <v>20</v>
      </c>
      <c r="E76" s="302"/>
    </row>
    <row r="77" spans="1:7" ht="15.75">
      <c r="A77" s="290">
        <f>A75+1</f>
        <v>32</v>
      </c>
      <c r="B77" s="291" t="s">
        <v>21</v>
      </c>
      <c r="C77" s="292"/>
      <c r="D77" s="292" t="s">
        <v>20</v>
      </c>
      <c r="E77" s="297">
        <f>ROUND([2]Sheet1!D269/4,-1)</f>
        <v>11770</v>
      </c>
    </row>
    <row r="78" spans="1:7" ht="15.75">
      <c r="A78" s="290">
        <f t="shared" si="1"/>
        <v>33</v>
      </c>
      <c r="B78" s="291" t="s">
        <v>45</v>
      </c>
      <c r="C78" s="292"/>
      <c r="D78" s="292" t="s">
        <v>23</v>
      </c>
      <c r="E78" s="297">
        <f>ROUND(1234000/40*100/110*0.9,-1)</f>
        <v>25240</v>
      </c>
    </row>
    <row r="79" spans="1:7" ht="15.75">
      <c r="A79" s="290">
        <f t="shared" si="1"/>
        <v>34</v>
      </c>
      <c r="B79" s="291" t="s">
        <v>15</v>
      </c>
      <c r="C79" s="292"/>
      <c r="D79" s="292" t="s">
        <v>39</v>
      </c>
      <c r="E79" s="296">
        <f>[2]Sheet1!D287</f>
        <v>5000</v>
      </c>
    </row>
    <row r="80" spans="1:7" ht="15.75" hidden="1">
      <c r="A80" s="299"/>
      <c r="B80" s="300" t="s">
        <v>161</v>
      </c>
      <c r="C80" s="301"/>
      <c r="D80" s="301" t="s">
        <v>39</v>
      </c>
      <c r="E80" s="302"/>
    </row>
    <row r="81" spans="1:5" ht="15.75">
      <c r="A81" s="290">
        <f>A79+1</f>
        <v>35</v>
      </c>
      <c r="B81" s="291" t="s">
        <v>42</v>
      </c>
      <c r="C81" s="292"/>
      <c r="D81" s="292" t="s">
        <v>39</v>
      </c>
      <c r="E81" s="296">
        <v>8500</v>
      </c>
    </row>
    <row r="82" spans="1:5" ht="15.75" hidden="1">
      <c r="A82" s="299"/>
      <c r="B82" s="300" t="s">
        <v>162</v>
      </c>
      <c r="C82" s="301"/>
      <c r="D82" s="301" t="s">
        <v>39</v>
      </c>
      <c r="E82" s="302"/>
    </row>
    <row r="83" spans="1:5" ht="15.75">
      <c r="A83" s="290">
        <f>A81+1</f>
        <v>36</v>
      </c>
      <c r="B83" s="291" t="s">
        <v>163</v>
      </c>
      <c r="C83" s="292"/>
      <c r="D83" s="292" t="s">
        <v>20</v>
      </c>
      <c r="E83" s="296">
        <f>E71</f>
        <v>6585</v>
      </c>
    </row>
    <row r="84" spans="1:5" ht="15.75" hidden="1">
      <c r="A84" s="299"/>
      <c r="B84" s="300" t="s">
        <v>164</v>
      </c>
      <c r="C84" s="301"/>
      <c r="D84" s="301" t="s">
        <v>20</v>
      </c>
      <c r="E84" s="302"/>
    </row>
    <row r="85" spans="1:5" ht="15.75" hidden="1">
      <c r="A85" s="299"/>
      <c r="B85" s="300" t="s">
        <v>165</v>
      </c>
      <c r="C85" s="301"/>
      <c r="D85" s="301" t="s">
        <v>102</v>
      </c>
      <c r="E85" s="302"/>
    </row>
    <row r="86" spans="1:5" ht="15.75" hidden="1">
      <c r="A86" s="299"/>
      <c r="B86" s="300" t="s">
        <v>166</v>
      </c>
      <c r="C86" s="301"/>
      <c r="D86" s="301" t="s">
        <v>167</v>
      </c>
      <c r="E86" s="302"/>
    </row>
    <row r="87" spans="1:5" ht="15.75" hidden="1">
      <c r="A87" s="299"/>
      <c r="B87" s="300" t="s">
        <v>168</v>
      </c>
      <c r="C87" s="301"/>
      <c r="D87" s="301" t="s">
        <v>34</v>
      </c>
      <c r="E87" s="302"/>
    </row>
    <row r="88" spans="1:5" ht="15.75">
      <c r="A88" s="290">
        <f>A83+1</f>
        <v>37</v>
      </c>
      <c r="B88" s="291" t="s">
        <v>169</v>
      </c>
      <c r="C88" s="292"/>
      <c r="D88" s="292" t="s">
        <v>20</v>
      </c>
      <c r="E88" s="296">
        <f>[2]Sheet1!D294</f>
        <v>33000</v>
      </c>
    </row>
    <row r="89" spans="1:5" ht="15.75">
      <c r="A89" s="290">
        <f t="shared" si="1"/>
        <v>38</v>
      </c>
      <c r="B89" s="291" t="s">
        <v>32</v>
      </c>
      <c r="C89" s="292"/>
      <c r="D89" s="292" t="s">
        <v>20</v>
      </c>
      <c r="E89" s="296">
        <f>[2]Sheet1!D279</f>
        <v>39500</v>
      </c>
    </row>
    <row r="90" spans="1:5" ht="15.75">
      <c r="A90" s="290">
        <f t="shared" ref="A90:A153" si="6">A89+1</f>
        <v>39</v>
      </c>
      <c r="B90" s="291" t="s">
        <v>44</v>
      </c>
      <c r="C90" s="292"/>
      <c r="D90" s="292" t="s">
        <v>30</v>
      </c>
      <c r="E90" s="297">
        <f>ROUND(18000*100/110/3,-1)</f>
        <v>5450</v>
      </c>
    </row>
    <row r="91" spans="1:5" ht="15.75">
      <c r="A91" s="290">
        <f t="shared" si="6"/>
        <v>40</v>
      </c>
      <c r="B91" s="291" t="s">
        <v>37</v>
      </c>
      <c r="C91" s="292"/>
      <c r="D91" s="292" t="s">
        <v>30</v>
      </c>
      <c r="E91" s="296">
        <f>E90</f>
        <v>5450</v>
      </c>
    </row>
    <row r="92" spans="1:5" ht="15.75" hidden="1">
      <c r="A92" s="299"/>
      <c r="B92" s="300" t="s">
        <v>170</v>
      </c>
      <c r="C92" s="301"/>
      <c r="D92" s="301" t="s">
        <v>20</v>
      </c>
      <c r="E92" s="302"/>
    </row>
    <row r="93" spans="1:5" ht="15.75" hidden="1">
      <c r="A93" s="299"/>
      <c r="B93" s="300" t="s">
        <v>171</v>
      </c>
      <c r="C93" s="301"/>
      <c r="D93" s="301" t="s">
        <v>20</v>
      </c>
      <c r="E93" s="302"/>
    </row>
    <row r="94" spans="1:5" ht="15.75" hidden="1">
      <c r="A94" s="299"/>
      <c r="B94" s="300" t="s">
        <v>172</v>
      </c>
      <c r="C94" s="301"/>
      <c r="D94" s="301" t="s">
        <v>173</v>
      </c>
      <c r="E94" s="302"/>
    </row>
    <row r="95" spans="1:5" ht="15.75" hidden="1">
      <c r="A95" s="299"/>
      <c r="B95" s="300" t="s">
        <v>174</v>
      </c>
      <c r="C95" s="301"/>
      <c r="D95" s="301" t="s">
        <v>20</v>
      </c>
      <c r="E95" s="302"/>
    </row>
    <row r="96" spans="1:5" ht="15.75" hidden="1">
      <c r="A96" s="299"/>
      <c r="B96" s="300" t="s">
        <v>175</v>
      </c>
      <c r="C96" s="301"/>
      <c r="D96" s="301" t="s">
        <v>20</v>
      </c>
      <c r="E96" s="302"/>
    </row>
    <row r="97" spans="1:7" ht="15.75">
      <c r="A97" s="290">
        <f>A91+1</f>
        <v>41</v>
      </c>
      <c r="B97" s="291" t="s">
        <v>176</v>
      </c>
      <c r="C97" s="292"/>
      <c r="D97" s="292" t="s">
        <v>177</v>
      </c>
      <c r="E97" s="296">
        <f>ROUND(G97*100/110*0.6,-1)</f>
        <v>21820</v>
      </c>
      <c r="G97" s="120">
        <f>[1]Sub!$G$9</f>
        <v>40000</v>
      </c>
    </row>
    <row r="98" spans="1:7" ht="15.75">
      <c r="A98" s="290">
        <f t="shared" si="6"/>
        <v>42</v>
      </c>
      <c r="B98" s="291" t="s">
        <v>46</v>
      </c>
      <c r="C98" s="292"/>
      <c r="D98" s="292" t="s">
        <v>177</v>
      </c>
      <c r="E98" s="296">
        <f>ROUND(G98*100/110*0.6,-1)</f>
        <v>49090</v>
      </c>
      <c r="G98" s="120">
        <f>[1]Sub!$G$8</f>
        <v>90000</v>
      </c>
    </row>
    <row r="99" spans="1:7" ht="15.75" hidden="1">
      <c r="A99" s="299"/>
      <c r="B99" s="300" t="s">
        <v>178</v>
      </c>
      <c r="C99" s="301"/>
      <c r="D99" s="301" t="s">
        <v>177</v>
      </c>
      <c r="E99" s="302"/>
    </row>
    <row r="100" spans="1:7" ht="15.75" hidden="1">
      <c r="A100" s="299"/>
      <c r="B100" s="300" t="s">
        <v>179</v>
      </c>
      <c r="C100" s="301"/>
      <c r="D100" s="301" t="s">
        <v>177</v>
      </c>
      <c r="E100" s="302"/>
    </row>
    <row r="101" spans="1:7" ht="15.75" hidden="1">
      <c r="A101" s="299"/>
      <c r="B101" s="300" t="s">
        <v>180</v>
      </c>
      <c r="C101" s="301"/>
      <c r="D101" s="301" t="s">
        <v>177</v>
      </c>
      <c r="E101" s="302"/>
    </row>
    <row r="102" spans="1:7" ht="15.75" hidden="1">
      <c r="A102" s="299"/>
      <c r="B102" s="300" t="s">
        <v>181</v>
      </c>
      <c r="C102" s="301"/>
      <c r="D102" s="301" t="s">
        <v>177</v>
      </c>
      <c r="E102" s="302"/>
    </row>
    <row r="103" spans="1:7" ht="15.75" hidden="1">
      <c r="A103" s="299"/>
      <c r="B103" s="300" t="s">
        <v>182</v>
      </c>
      <c r="C103" s="301"/>
      <c r="D103" s="301" t="s">
        <v>177</v>
      </c>
      <c r="E103" s="302"/>
    </row>
    <row r="104" spans="1:7" ht="15.75" hidden="1">
      <c r="A104" s="299"/>
      <c r="B104" s="300" t="s">
        <v>183</v>
      </c>
      <c r="C104" s="301"/>
      <c r="D104" s="301" t="s">
        <v>177</v>
      </c>
      <c r="E104" s="302"/>
    </row>
    <row r="105" spans="1:7" ht="15.75" hidden="1">
      <c r="A105" s="299"/>
      <c r="B105" s="300" t="s">
        <v>184</v>
      </c>
      <c r="C105" s="301"/>
      <c r="D105" s="301" t="s">
        <v>177</v>
      </c>
      <c r="E105" s="302"/>
    </row>
    <row r="106" spans="1:7" ht="15.75" hidden="1">
      <c r="A106" s="299"/>
      <c r="B106" s="300" t="s">
        <v>185</v>
      </c>
      <c r="C106" s="301"/>
      <c r="D106" s="301" t="s">
        <v>177</v>
      </c>
      <c r="E106" s="302"/>
    </row>
    <row r="107" spans="1:7" ht="15.75" hidden="1">
      <c r="A107" s="299"/>
      <c r="B107" s="300" t="s">
        <v>186</v>
      </c>
      <c r="C107" s="301"/>
      <c r="D107" s="301" t="s">
        <v>177</v>
      </c>
      <c r="E107" s="302"/>
      <c r="G107" s="120">
        <f>[1]Bahan!$G$22</f>
        <v>152500</v>
      </c>
    </row>
    <row r="108" spans="1:7" ht="15.75" hidden="1">
      <c r="A108" s="299"/>
      <c r="B108" s="300" t="s">
        <v>187</v>
      </c>
      <c r="C108" s="301"/>
      <c r="D108" s="301" t="s">
        <v>167</v>
      </c>
      <c r="E108" s="302"/>
    </row>
    <row r="109" spans="1:7" ht="15.75">
      <c r="A109" s="290">
        <f>A98+1</f>
        <v>43</v>
      </c>
      <c r="B109" s="291" t="s">
        <v>188</v>
      </c>
      <c r="C109" s="292"/>
      <c r="D109" s="292" t="s">
        <v>167</v>
      </c>
      <c r="E109" s="296">
        <f>ROUND(G109*100/110,-1)</f>
        <v>69320</v>
      </c>
      <c r="G109" s="120">
        <f>G107/12*6</f>
        <v>76250</v>
      </c>
    </row>
    <row r="110" spans="1:7" ht="15.75">
      <c r="A110" s="290">
        <f t="shared" si="6"/>
        <v>44</v>
      </c>
      <c r="B110" s="291" t="s">
        <v>189</v>
      </c>
      <c r="C110" s="292"/>
      <c r="D110" s="292" t="s">
        <v>167</v>
      </c>
      <c r="E110" s="296">
        <f>ROUND(G110*100/110,-1)</f>
        <v>103980</v>
      </c>
      <c r="G110" s="120">
        <f>G107/12*9</f>
        <v>114375</v>
      </c>
    </row>
    <row r="111" spans="1:7" ht="15.75" hidden="1">
      <c r="A111" s="299"/>
      <c r="B111" s="300" t="s">
        <v>190</v>
      </c>
      <c r="C111" s="301"/>
      <c r="D111" s="301" t="s">
        <v>167</v>
      </c>
      <c r="E111" s="302"/>
    </row>
    <row r="112" spans="1:7" ht="15.75" hidden="1">
      <c r="A112" s="299"/>
      <c r="B112" s="300" t="s">
        <v>191</v>
      </c>
      <c r="C112" s="301"/>
      <c r="D112" s="301" t="s">
        <v>133</v>
      </c>
      <c r="E112" s="302"/>
    </row>
    <row r="113" spans="1:7" ht="15.75">
      <c r="A113" s="290">
        <f>A110+1</f>
        <v>45</v>
      </c>
      <c r="B113" s="291" t="s">
        <v>192</v>
      </c>
      <c r="C113" s="292"/>
      <c r="D113" s="292" t="s">
        <v>167</v>
      </c>
      <c r="E113" s="297">
        <f>ROUND(E114/12*9,-1)</f>
        <v>42190</v>
      </c>
    </row>
    <row r="114" spans="1:7" ht="15.75">
      <c r="A114" s="290">
        <f t="shared" si="6"/>
        <v>46</v>
      </c>
      <c r="B114" s="291" t="s">
        <v>193</v>
      </c>
      <c r="C114" s="292"/>
      <c r="D114" s="292" t="s">
        <v>167</v>
      </c>
      <c r="E114" s="296">
        <f>[2]Sheet1!D106/(1.2*2.4)*1.8</f>
        <v>56250</v>
      </c>
    </row>
    <row r="115" spans="1:7" ht="15.75">
      <c r="A115" s="290">
        <f t="shared" si="6"/>
        <v>47</v>
      </c>
      <c r="B115" s="291" t="s">
        <v>194</v>
      </c>
      <c r="C115" s="292"/>
      <c r="D115" s="292" t="s">
        <v>167</v>
      </c>
      <c r="E115" s="297">
        <f>ROUND([2]Sheet1!D108/(1.2*2.4)*100/110*2.5,-1)</f>
        <v>94700</v>
      </c>
    </row>
    <row r="116" spans="1:7" ht="15.75">
      <c r="A116" s="290">
        <f t="shared" si="6"/>
        <v>48</v>
      </c>
      <c r="B116" s="291" t="s">
        <v>195</v>
      </c>
      <c r="C116" s="292"/>
      <c r="D116" s="292" t="s">
        <v>23</v>
      </c>
      <c r="E116" s="296">
        <f>1400000</f>
        <v>1400000</v>
      </c>
    </row>
    <row r="117" spans="1:7" ht="15.75">
      <c r="A117" s="290">
        <f t="shared" si="6"/>
        <v>49</v>
      </c>
      <c r="B117" s="291" t="s">
        <v>33</v>
      </c>
      <c r="C117" s="292"/>
      <c r="D117" s="292" t="s">
        <v>23</v>
      </c>
      <c r="E117" s="296">
        <f>[2]Sheet1!D160/2</f>
        <v>675000</v>
      </c>
    </row>
    <row r="118" spans="1:7" ht="15.75" hidden="1">
      <c r="A118" s="299"/>
      <c r="B118" s="300" t="s">
        <v>196</v>
      </c>
      <c r="C118" s="301"/>
      <c r="D118" s="301" t="s">
        <v>197</v>
      </c>
      <c r="E118" s="302"/>
    </row>
    <row r="119" spans="1:7" ht="15.75" hidden="1">
      <c r="A119" s="299"/>
      <c r="B119" s="300" t="s">
        <v>198</v>
      </c>
      <c r="C119" s="301"/>
      <c r="D119" s="301" t="s">
        <v>197</v>
      </c>
      <c r="E119" s="302"/>
    </row>
    <row r="120" spans="1:7" ht="15.75">
      <c r="A120" s="290">
        <f>A117+1</f>
        <v>50</v>
      </c>
      <c r="B120" s="291" t="s">
        <v>199</v>
      </c>
      <c r="C120" s="292"/>
      <c r="D120" s="292" t="s">
        <v>136</v>
      </c>
      <c r="E120" s="296">
        <f>40450*3</f>
        <v>121350</v>
      </c>
    </row>
    <row r="121" spans="1:7" ht="15.75">
      <c r="A121" s="290">
        <f t="shared" si="6"/>
        <v>51</v>
      </c>
      <c r="B121" s="291" t="s">
        <v>24</v>
      </c>
      <c r="C121" s="292"/>
      <c r="D121" s="292" t="s">
        <v>136</v>
      </c>
      <c r="E121" s="296">
        <f>ROUND(G121*(0.3*0.3)*100/110*0.85,-1)</f>
        <v>8600</v>
      </c>
      <c r="G121" s="120">
        <f>[1]Bahan!$G$51</f>
        <v>123600</v>
      </c>
    </row>
    <row r="122" spans="1:7" ht="15.75">
      <c r="A122" s="290">
        <f t="shared" si="6"/>
        <v>52</v>
      </c>
      <c r="B122" s="291" t="s">
        <v>25</v>
      </c>
      <c r="C122" s="292"/>
      <c r="D122" s="292" t="s">
        <v>136</v>
      </c>
      <c r="E122" s="296">
        <f>E121</f>
        <v>8600</v>
      </c>
    </row>
    <row r="123" spans="1:7" ht="15.75">
      <c r="A123" s="290">
        <f t="shared" si="6"/>
        <v>53</v>
      </c>
      <c r="B123" s="291" t="s">
        <v>26</v>
      </c>
      <c r="C123" s="292"/>
      <c r="D123" s="292" t="s">
        <v>136</v>
      </c>
      <c r="E123" s="296">
        <f>ROUND(G123*(0.6*0.6)*100/110*0.85,-1)</f>
        <v>34380</v>
      </c>
      <c r="G123" s="120">
        <f>[1]Bahan!$G$49</f>
        <v>123600</v>
      </c>
    </row>
    <row r="124" spans="1:7" ht="15.75">
      <c r="A124" s="290">
        <f t="shared" si="6"/>
        <v>54</v>
      </c>
      <c r="B124" s="291" t="s">
        <v>27</v>
      </c>
      <c r="C124" s="292"/>
      <c r="D124" s="292" t="s">
        <v>136</v>
      </c>
      <c r="E124" s="296">
        <f>ROUND(G124*(0.3*0.6)*100/110*0.85,-1)</f>
        <v>17190</v>
      </c>
      <c r="G124" s="120">
        <f>[1]Bahan!$G$53</f>
        <v>123600</v>
      </c>
    </row>
    <row r="125" spans="1:7" ht="15.75" hidden="1">
      <c r="A125" s="299"/>
      <c r="B125" s="300" t="s">
        <v>200</v>
      </c>
      <c r="C125" s="301"/>
      <c r="D125" s="301" t="s">
        <v>136</v>
      </c>
      <c r="E125" s="302"/>
    </row>
    <row r="126" spans="1:7" ht="15.75" hidden="1">
      <c r="A126" s="299"/>
      <c r="B126" s="300" t="s">
        <v>201</v>
      </c>
      <c r="C126" s="301"/>
      <c r="D126" s="301" t="s">
        <v>136</v>
      </c>
      <c r="E126" s="302"/>
    </row>
    <row r="127" spans="1:7" ht="15.75" hidden="1">
      <c r="A127" s="299"/>
      <c r="B127" s="300" t="s">
        <v>202</v>
      </c>
      <c r="C127" s="301"/>
      <c r="D127" s="301" t="s">
        <v>136</v>
      </c>
      <c r="E127" s="302"/>
    </row>
    <row r="128" spans="1:7" ht="15.75" hidden="1">
      <c r="A128" s="299"/>
      <c r="B128" s="300" t="s">
        <v>203</v>
      </c>
      <c r="C128" s="301"/>
      <c r="D128" s="301" t="s">
        <v>136</v>
      </c>
      <c r="E128" s="302"/>
    </row>
    <row r="129" spans="1:7" ht="15.75" hidden="1">
      <c r="A129" s="299"/>
      <c r="B129" s="300" t="s">
        <v>204</v>
      </c>
      <c r="C129" s="301"/>
      <c r="D129" s="301" t="s">
        <v>136</v>
      </c>
      <c r="E129" s="302"/>
    </row>
    <row r="130" spans="1:7" ht="15.75" hidden="1">
      <c r="A130" s="299"/>
      <c r="B130" s="300" t="s">
        <v>205</v>
      </c>
      <c r="C130" s="301"/>
      <c r="D130" s="301" t="s">
        <v>136</v>
      </c>
      <c r="E130" s="302"/>
    </row>
    <row r="131" spans="1:7" ht="15.75" hidden="1">
      <c r="A131" s="299"/>
      <c r="B131" s="300" t="s">
        <v>206</v>
      </c>
      <c r="C131" s="301"/>
      <c r="D131" s="301" t="s">
        <v>136</v>
      </c>
      <c r="E131" s="302"/>
    </row>
    <row r="132" spans="1:7" ht="15.75" hidden="1">
      <c r="A132" s="299"/>
      <c r="B132" s="300" t="s">
        <v>207</v>
      </c>
      <c r="C132" s="301"/>
      <c r="D132" s="301" t="s">
        <v>136</v>
      </c>
      <c r="E132" s="302"/>
    </row>
    <row r="133" spans="1:7" ht="15.75">
      <c r="A133" s="290">
        <f>A124+1</f>
        <v>55</v>
      </c>
      <c r="B133" s="291" t="s">
        <v>208</v>
      </c>
      <c r="C133" s="292"/>
      <c r="D133" s="292" t="s">
        <v>20</v>
      </c>
      <c r="E133" s="296">
        <f>ROUND(G133*100/110*0.8,-1)</f>
        <v>9090</v>
      </c>
      <c r="G133" s="120">
        <f>[1]Bahan!$G$31</f>
        <v>12500</v>
      </c>
    </row>
    <row r="134" spans="1:7" ht="15.75" hidden="1">
      <c r="A134" s="299"/>
      <c r="B134" s="300" t="s">
        <v>209</v>
      </c>
      <c r="C134" s="301"/>
      <c r="D134" s="301" t="s">
        <v>136</v>
      </c>
      <c r="E134" s="302"/>
    </row>
    <row r="135" spans="1:7" ht="15.75" hidden="1">
      <c r="A135" s="299"/>
      <c r="B135" s="300" t="s">
        <v>210</v>
      </c>
      <c r="C135" s="301"/>
      <c r="D135" s="301" t="s">
        <v>136</v>
      </c>
      <c r="E135" s="302"/>
    </row>
    <row r="136" spans="1:7" ht="15.75" hidden="1">
      <c r="A136" s="299"/>
      <c r="B136" s="300" t="s">
        <v>211</v>
      </c>
      <c r="C136" s="301"/>
      <c r="D136" s="301" t="s">
        <v>167</v>
      </c>
      <c r="E136" s="302"/>
    </row>
    <row r="137" spans="1:7" ht="15.75" hidden="1">
      <c r="A137" s="299"/>
      <c r="B137" s="300" t="s">
        <v>212</v>
      </c>
      <c r="C137" s="301"/>
      <c r="D137" s="301" t="s">
        <v>167</v>
      </c>
      <c r="E137" s="302"/>
    </row>
    <row r="138" spans="1:7" ht="15.75" hidden="1">
      <c r="A138" s="299"/>
      <c r="B138" s="300" t="s">
        <v>213</v>
      </c>
      <c r="C138" s="301"/>
      <c r="D138" s="301" t="s">
        <v>167</v>
      </c>
      <c r="E138" s="302"/>
    </row>
    <row r="139" spans="1:7" ht="15.75" hidden="1">
      <c r="A139" s="299"/>
      <c r="B139" s="300" t="s">
        <v>214</v>
      </c>
      <c r="C139" s="301"/>
      <c r="D139" s="301" t="s">
        <v>167</v>
      </c>
      <c r="E139" s="302"/>
    </row>
    <row r="140" spans="1:7" ht="15.75" hidden="1">
      <c r="A140" s="299"/>
      <c r="B140" s="300" t="s">
        <v>215</v>
      </c>
      <c r="C140" s="301"/>
      <c r="D140" s="301" t="s">
        <v>167</v>
      </c>
      <c r="E140" s="302"/>
    </row>
    <row r="141" spans="1:7" ht="15.75">
      <c r="A141" s="290">
        <f>A133+1</f>
        <v>56</v>
      </c>
      <c r="B141" s="291" t="s">
        <v>216</v>
      </c>
      <c r="C141" s="292"/>
      <c r="D141" s="292" t="s">
        <v>167</v>
      </c>
      <c r="E141" s="296">
        <f>[2]Sheet1!D203</f>
        <v>50000</v>
      </c>
    </row>
    <row r="142" spans="1:7" ht="15.75">
      <c r="A142" s="290">
        <f t="shared" si="6"/>
        <v>57</v>
      </c>
      <c r="B142" s="291" t="s">
        <v>217</v>
      </c>
      <c r="C142" s="292"/>
      <c r="D142" s="292" t="s">
        <v>167</v>
      </c>
      <c r="E142" s="296">
        <f>[2]Sheet1!D219</f>
        <v>120000</v>
      </c>
    </row>
    <row r="143" spans="1:7" ht="15.75" hidden="1">
      <c r="A143" s="299"/>
      <c r="B143" s="300" t="s">
        <v>218</v>
      </c>
      <c r="C143" s="301"/>
      <c r="D143" s="301" t="s">
        <v>167</v>
      </c>
      <c r="E143" s="302"/>
    </row>
    <row r="144" spans="1:7" ht="15.75" hidden="1">
      <c r="A144" s="299"/>
      <c r="B144" s="300" t="s">
        <v>219</v>
      </c>
      <c r="C144" s="301"/>
      <c r="D144" s="301" t="s">
        <v>167</v>
      </c>
      <c r="E144" s="302"/>
    </row>
    <row r="145" spans="1:5" ht="15.75" hidden="1">
      <c r="A145" s="299"/>
      <c r="B145" s="300" t="s">
        <v>220</v>
      </c>
      <c r="C145" s="301"/>
      <c r="D145" s="301" t="s">
        <v>177</v>
      </c>
      <c r="E145" s="302"/>
    </row>
    <row r="146" spans="1:5" ht="15.75" hidden="1">
      <c r="A146" s="299"/>
      <c r="B146" s="300" t="s">
        <v>221</v>
      </c>
      <c r="C146" s="301"/>
      <c r="D146" s="301" t="s">
        <v>177</v>
      </c>
      <c r="E146" s="302"/>
    </row>
    <row r="147" spans="1:5" ht="15.75" hidden="1">
      <c r="A147" s="299"/>
      <c r="B147" s="300" t="s">
        <v>222</v>
      </c>
      <c r="C147" s="301"/>
      <c r="D147" s="301" t="s">
        <v>177</v>
      </c>
      <c r="E147" s="302"/>
    </row>
    <row r="148" spans="1:5" ht="15.75">
      <c r="A148" s="290">
        <f>A142+1</f>
        <v>58</v>
      </c>
      <c r="B148" s="291" t="s">
        <v>223</v>
      </c>
      <c r="C148" s="292"/>
      <c r="D148" s="292" t="s">
        <v>177</v>
      </c>
      <c r="E148" s="297">
        <f>ROUND([2]Sheet1!D367/3*100/110*4,-1)</f>
        <v>465450</v>
      </c>
    </row>
    <row r="149" spans="1:5" ht="15.75" hidden="1">
      <c r="A149" s="299"/>
      <c r="B149" s="300" t="s">
        <v>224</v>
      </c>
      <c r="C149" s="301"/>
      <c r="D149" s="301" t="s">
        <v>177</v>
      </c>
      <c r="E149" s="302"/>
    </row>
    <row r="150" spans="1:5" ht="15.75" hidden="1">
      <c r="A150" s="299"/>
      <c r="B150" s="300" t="s">
        <v>225</v>
      </c>
      <c r="C150" s="301"/>
      <c r="D150" s="301" t="s">
        <v>177</v>
      </c>
      <c r="E150" s="302"/>
    </row>
    <row r="151" spans="1:5" ht="15.75" hidden="1">
      <c r="A151" s="299"/>
      <c r="B151" s="300" t="s">
        <v>226</v>
      </c>
      <c r="C151" s="301"/>
      <c r="D151" s="301" t="s">
        <v>177</v>
      </c>
      <c r="E151" s="302"/>
    </row>
    <row r="152" spans="1:5" ht="15.75">
      <c r="A152" s="290">
        <f>A148+1</f>
        <v>59</v>
      </c>
      <c r="B152" s="291" t="s">
        <v>227</v>
      </c>
      <c r="C152" s="292"/>
      <c r="D152" s="292" t="s">
        <v>177</v>
      </c>
      <c r="E152" s="297">
        <f>ROUND([2]Sheet1!D368*3,-1)</f>
        <v>1777000</v>
      </c>
    </row>
    <row r="153" spans="1:5" ht="15.75">
      <c r="A153" s="290">
        <f t="shared" si="6"/>
        <v>60</v>
      </c>
      <c r="B153" s="291" t="s">
        <v>228</v>
      </c>
      <c r="C153" s="292"/>
      <c r="D153" s="292" t="s">
        <v>177</v>
      </c>
      <c r="E153" s="296">
        <f>[2]Sheet1!D356*7</f>
        <v>79450</v>
      </c>
    </row>
    <row r="154" spans="1:5" ht="15.75" hidden="1">
      <c r="A154" s="299"/>
      <c r="B154" s="300" t="s">
        <v>229</v>
      </c>
      <c r="C154" s="301"/>
      <c r="D154" s="301" t="s">
        <v>197</v>
      </c>
      <c r="E154" s="302"/>
    </row>
    <row r="155" spans="1:5" ht="15.75" hidden="1">
      <c r="A155" s="299"/>
      <c r="B155" s="300" t="s">
        <v>230</v>
      </c>
      <c r="C155" s="301"/>
      <c r="D155" s="301" t="s">
        <v>231</v>
      </c>
      <c r="E155" s="302"/>
    </row>
    <row r="156" spans="1:5" ht="15.75" hidden="1">
      <c r="A156" s="299"/>
      <c r="B156" s="300" t="s">
        <v>232</v>
      </c>
      <c r="C156" s="301"/>
      <c r="D156" s="301" t="s">
        <v>231</v>
      </c>
      <c r="E156" s="302"/>
    </row>
    <row r="157" spans="1:5" ht="15.75" hidden="1">
      <c r="A157" s="299"/>
      <c r="B157" s="300" t="s">
        <v>233</v>
      </c>
      <c r="C157" s="301"/>
      <c r="D157" s="301" t="s">
        <v>231</v>
      </c>
      <c r="E157" s="302"/>
    </row>
    <row r="158" spans="1:5" ht="15.75" hidden="1">
      <c r="A158" s="299"/>
      <c r="B158" s="300" t="s">
        <v>234</v>
      </c>
      <c r="C158" s="301"/>
      <c r="D158" s="301" t="s">
        <v>231</v>
      </c>
      <c r="E158" s="302"/>
    </row>
    <row r="159" spans="1:5" ht="15.75" hidden="1">
      <c r="A159" s="299"/>
      <c r="B159" s="300" t="s">
        <v>235</v>
      </c>
      <c r="C159" s="301"/>
      <c r="D159" s="301" t="s">
        <v>231</v>
      </c>
      <c r="E159" s="302"/>
    </row>
    <row r="160" spans="1:5" ht="15.75" hidden="1">
      <c r="A160" s="299"/>
      <c r="B160" s="300" t="s">
        <v>236</v>
      </c>
      <c r="C160" s="301"/>
      <c r="D160" s="301" t="s">
        <v>231</v>
      </c>
      <c r="E160" s="302"/>
    </row>
    <row r="161" spans="1:5" ht="15.75" hidden="1">
      <c r="A161" s="299"/>
      <c r="B161" s="300" t="s">
        <v>237</v>
      </c>
      <c r="C161" s="301"/>
      <c r="D161" s="301" t="s">
        <v>231</v>
      </c>
      <c r="E161" s="302"/>
    </row>
    <row r="162" spans="1:5" ht="15.75" hidden="1">
      <c r="A162" s="299"/>
      <c r="B162" s="300" t="s">
        <v>238</v>
      </c>
      <c r="C162" s="301"/>
      <c r="D162" s="301" t="s">
        <v>231</v>
      </c>
      <c r="E162" s="302"/>
    </row>
    <row r="163" spans="1:5" ht="15.75" hidden="1">
      <c r="A163" s="299"/>
      <c r="B163" s="300" t="s">
        <v>239</v>
      </c>
      <c r="C163" s="301"/>
      <c r="D163" s="301" t="s">
        <v>231</v>
      </c>
      <c r="E163" s="302"/>
    </row>
    <row r="164" spans="1:5" ht="15.75" hidden="1">
      <c r="A164" s="299"/>
      <c r="B164" s="300" t="s">
        <v>240</v>
      </c>
      <c r="C164" s="301"/>
      <c r="D164" s="301" t="s">
        <v>231</v>
      </c>
      <c r="E164" s="302"/>
    </row>
    <row r="165" spans="1:5" ht="15.75">
      <c r="A165" s="290">
        <f>A153+1</f>
        <v>61</v>
      </c>
      <c r="B165" s="291" t="s">
        <v>241</v>
      </c>
      <c r="C165" s="292"/>
      <c r="D165" s="292" t="s">
        <v>231</v>
      </c>
      <c r="E165" s="296">
        <f>[2]Sheet1!D344</f>
        <v>57725</v>
      </c>
    </row>
    <row r="166" spans="1:5" ht="15.75" hidden="1">
      <c r="A166" s="299"/>
      <c r="B166" s="300" t="s">
        <v>242</v>
      </c>
      <c r="C166" s="301"/>
      <c r="D166" s="301" t="s">
        <v>231</v>
      </c>
      <c r="E166" s="302"/>
    </row>
    <row r="167" spans="1:5" ht="15.75" hidden="1">
      <c r="A167" s="299"/>
      <c r="B167" s="300" t="s">
        <v>243</v>
      </c>
      <c r="C167" s="301"/>
      <c r="D167" s="301" t="s">
        <v>231</v>
      </c>
      <c r="E167" s="302"/>
    </row>
    <row r="168" spans="1:5" ht="15.75" hidden="1">
      <c r="A168" s="299"/>
      <c r="B168" s="300" t="s">
        <v>244</v>
      </c>
      <c r="C168" s="301"/>
      <c r="D168" s="301" t="s">
        <v>245</v>
      </c>
      <c r="E168" s="302"/>
    </row>
    <row r="169" spans="1:5" ht="15.75" hidden="1">
      <c r="A169" s="299"/>
      <c r="B169" s="300" t="s">
        <v>246</v>
      </c>
      <c r="C169" s="301"/>
      <c r="D169" s="301" t="s">
        <v>197</v>
      </c>
      <c r="E169" s="302"/>
    </row>
    <row r="170" spans="1:5" ht="15.75" hidden="1">
      <c r="A170" s="299"/>
      <c r="B170" s="300" t="s">
        <v>247</v>
      </c>
      <c r="C170" s="301"/>
      <c r="D170" s="301" t="s">
        <v>197</v>
      </c>
      <c r="E170" s="302"/>
    </row>
    <row r="171" spans="1:5" ht="15.75" hidden="1">
      <c r="A171" s="299"/>
      <c r="B171" s="300" t="s">
        <v>248</v>
      </c>
      <c r="C171" s="301"/>
      <c r="D171" s="301" t="s">
        <v>197</v>
      </c>
      <c r="E171" s="302"/>
    </row>
    <row r="172" spans="1:5" ht="15.75" hidden="1">
      <c r="A172" s="299"/>
      <c r="B172" s="300" t="s">
        <v>249</v>
      </c>
      <c r="C172" s="301"/>
      <c r="D172" s="301" t="s">
        <v>197</v>
      </c>
      <c r="E172" s="302"/>
    </row>
    <row r="173" spans="1:5" ht="15.75" hidden="1">
      <c r="A173" s="299"/>
      <c r="B173" s="300" t="s">
        <v>250</v>
      </c>
      <c r="C173" s="301"/>
      <c r="D173" s="301" t="s">
        <v>197</v>
      </c>
      <c r="E173" s="302"/>
    </row>
    <row r="174" spans="1:5" ht="15.75" hidden="1">
      <c r="A174" s="299"/>
      <c r="B174" s="300" t="s">
        <v>251</v>
      </c>
      <c r="C174" s="301"/>
      <c r="D174" s="301" t="s">
        <v>197</v>
      </c>
      <c r="E174" s="302"/>
    </row>
    <row r="175" spans="1:5" ht="15.75" hidden="1">
      <c r="A175" s="299"/>
      <c r="B175" s="300" t="s">
        <v>252</v>
      </c>
      <c r="C175" s="301"/>
      <c r="D175" s="301" t="s">
        <v>197</v>
      </c>
      <c r="E175" s="302"/>
    </row>
    <row r="176" spans="1:5" ht="15.75" hidden="1">
      <c r="A176" s="299"/>
      <c r="B176" s="300" t="s">
        <v>253</v>
      </c>
      <c r="C176" s="301"/>
      <c r="D176" s="301" t="s">
        <v>197</v>
      </c>
      <c r="E176" s="302"/>
    </row>
    <row r="177" spans="1:12" ht="15.75" hidden="1">
      <c r="A177" s="299"/>
      <c r="B177" s="300" t="s">
        <v>254</v>
      </c>
      <c r="C177" s="301"/>
      <c r="D177" s="301" t="s">
        <v>197</v>
      </c>
      <c r="E177" s="302"/>
    </row>
    <row r="178" spans="1:12" ht="15.75" hidden="1">
      <c r="A178" s="299"/>
      <c r="B178" s="300" t="s">
        <v>255</v>
      </c>
      <c r="C178" s="301"/>
      <c r="D178" s="301" t="s">
        <v>197</v>
      </c>
      <c r="E178" s="302"/>
    </row>
    <row r="179" spans="1:12" ht="15.75" hidden="1">
      <c r="A179" s="299"/>
      <c r="B179" s="300" t="s">
        <v>256</v>
      </c>
      <c r="C179" s="301"/>
      <c r="D179" s="301" t="s">
        <v>197</v>
      </c>
      <c r="E179" s="302"/>
    </row>
    <row r="180" spans="1:12" ht="15.75" hidden="1">
      <c r="A180" s="299"/>
      <c r="B180" s="300" t="s">
        <v>257</v>
      </c>
      <c r="C180" s="301"/>
      <c r="D180" s="301" t="s">
        <v>197</v>
      </c>
      <c r="E180" s="302"/>
      <c r="J180" s="120">
        <v>3800</v>
      </c>
      <c r="L180" s="119">
        <v>3300</v>
      </c>
    </row>
    <row r="181" spans="1:12" ht="15.75" hidden="1">
      <c r="A181" s="299"/>
      <c r="B181" s="300" t="s">
        <v>258</v>
      </c>
      <c r="C181" s="301"/>
      <c r="D181" s="301" t="s">
        <v>197</v>
      </c>
      <c r="E181" s="302"/>
      <c r="J181" s="120">
        <v>3920</v>
      </c>
    </row>
    <row r="182" spans="1:12" ht="15.75">
      <c r="A182" s="290">
        <f>A165+1</f>
        <v>62</v>
      </c>
      <c r="B182" s="291" t="s">
        <v>259</v>
      </c>
      <c r="C182" s="292"/>
      <c r="D182" s="292" t="s">
        <v>136</v>
      </c>
      <c r="E182" s="296">
        <f>ROUND(G182,-1)</f>
        <v>3293940</v>
      </c>
      <c r="G182" s="120">
        <f>[1]Bahan!$G$36</f>
        <v>3293940</v>
      </c>
      <c r="J182" s="120">
        <v>4140</v>
      </c>
      <c r="K182" s="119">
        <f>J182/J181</f>
        <v>1.0561224489795917</v>
      </c>
      <c r="L182" s="119">
        <v>3500</v>
      </c>
    </row>
    <row r="183" spans="1:12" ht="15.75">
      <c r="A183" s="290">
        <f t="shared" ref="A183:A214" si="7">A182+1</f>
        <v>63</v>
      </c>
      <c r="B183" s="291" t="s">
        <v>260</v>
      </c>
      <c r="C183" s="292"/>
      <c r="D183" s="292" t="s">
        <v>136</v>
      </c>
      <c r="E183" s="296">
        <f>[2]Sheet1!D377</f>
        <v>136300</v>
      </c>
    </row>
    <row r="184" spans="1:12" ht="15.75" hidden="1">
      <c r="A184" s="299"/>
      <c r="B184" s="300" t="s">
        <v>261</v>
      </c>
      <c r="C184" s="301"/>
      <c r="D184" s="301" t="s">
        <v>136</v>
      </c>
      <c r="E184" s="302"/>
    </row>
    <row r="185" spans="1:12" ht="15.75">
      <c r="A185" s="290">
        <f>A183+1</f>
        <v>64</v>
      </c>
      <c r="B185" s="291" t="s">
        <v>262</v>
      </c>
      <c r="C185" s="292"/>
      <c r="D185" s="292" t="s">
        <v>136</v>
      </c>
      <c r="E185" s="296">
        <f t="shared" ref="E185:E186" si="8">ROUND(G185,-1)</f>
        <v>1626890</v>
      </c>
      <c r="G185" s="120">
        <f>[1]Bahan!$G$38</f>
        <v>1626885</v>
      </c>
    </row>
    <row r="186" spans="1:12" ht="15.75">
      <c r="A186" s="290">
        <f t="shared" si="7"/>
        <v>65</v>
      </c>
      <c r="B186" s="291" t="s">
        <v>263</v>
      </c>
      <c r="C186" s="292"/>
      <c r="D186" s="292" t="s">
        <v>136</v>
      </c>
      <c r="E186" s="296">
        <f t="shared" si="8"/>
        <v>2114950</v>
      </c>
      <c r="G186" s="120">
        <f>[1]Bahan!$G$39</f>
        <v>2114950.5</v>
      </c>
    </row>
    <row r="187" spans="1:12" ht="15.75" hidden="1">
      <c r="A187" s="299"/>
      <c r="B187" s="300" t="s">
        <v>264</v>
      </c>
      <c r="C187" s="301"/>
      <c r="D187" s="301" t="s">
        <v>136</v>
      </c>
      <c r="E187" s="302"/>
    </row>
    <row r="188" spans="1:12" ht="15.75" hidden="1">
      <c r="A188" s="299"/>
      <c r="B188" s="300" t="s">
        <v>265</v>
      </c>
      <c r="C188" s="301"/>
      <c r="D188" s="301" t="s">
        <v>136</v>
      </c>
      <c r="E188" s="302"/>
    </row>
    <row r="189" spans="1:12" ht="15.75">
      <c r="A189" s="290">
        <f>A186+1</f>
        <v>66</v>
      </c>
      <c r="B189" s="291" t="s">
        <v>266</v>
      </c>
      <c r="C189" s="292"/>
      <c r="D189" s="292" t="s">
        <v>136</v>
      </c>
      <c r="E189" s="297">
        <f>ROUND([2]Sheet1!$D$401*100/110,-1)</f>
        <v>195450</v>
      </c>
    </row>
    <row r="190" spans="1:12" ht="15.75" hidden="1">
      <c r="A190" s="299"/>
      <c r="B190" s="300" t="s">
        <v>267</v>
      </c>
      <c r="C190" s="301"/>
      <c r="D190" s="301" t="s">
        <v>136</v>
      </c>
      <c r="E190" s="302"/>
    </row>
    <row r="191" spans="1:12" ht="15.75">
      <c r="A191" s="290">
        <f>A189+1</f>
        <v>67</v>
      </c>
      <c r="B191" s="291" t="s">
        <v>268</v>
      </c>
      <c r="C191" s="292"/>
      <c r="D191" s="292" t="s">
        <v>136</v>
      </c>
      <c r="E191" s="296">
        <f>[2]Sheet1!D400</f>
        <v>150000</v>
      </c>
    </row>
    <row r="192" spans="1:12" ht="15.75">
      <c r="A192" s="290">
        <f t="shared" si="7"/>
        <v>68</v>
      </c>
      <c r="B192" s="291" t="s">
        <v>35</v>
      </c>
      <c r="C192" s="292"/>
      <c r="D192" s="292" t="s">
        <v>136</v>
      </c>
      <c r="E192" s="296">
        <f>[2]Sheet1!D400</f>
        <v>150000</v>
      </c>
    </row>
    <row r="193" spans="1:7" ht="15.75" hidden="1">
      <c r="A193" s="299"/>
      <c r="B193" s="300" t="s">
        <v>269</v>
      </c>
      <c r="C193" s="301"/>
      <c r="D193" s="301" t="s">
        <v>136</v>
      </c>
      <c r="E193" s="302"/>
    </row>
    <row r="194" spans="1:7" ht="15.75" hidden="1">
      <c r="A194" s="299"/>
      <c r="B194" s="300" t="s">
        <v>270</v>
      </c>
      <c r="C194" s="301"/>
      <c r="D194" s="301" t="s">
        <v>136</v>
      </c>
      <c r="E194" s="302"/>
    </row>
    <row r="195" spans="1:7" ht="15.75" hidden="1">
      <c r="A195" s="299"/>
      <c r="B195" s="300" t="s">
        <v>271</v>
      </c>
      <c r="C195" s="301"/>
      <c r="D195" s="301" t="s">
        <v>136</v>
      </c>
      <c r="E195" s="302"/>
    </row>
    <row r="196" spans="1:7" ht="15.75">
      <c r="A196" s="290">
        <f>A192+1</f>
        <v>69</v>
      </c>
      <c r="B196" s="291" t="s">
        <v>272</v>
      </c>
      <c r="C196" s="292"/>
      <c r="D196" s="292" t="s">
        <v>136</v>
      </c>
      <c r="E196" s="296">
        <f>[2]Sheet1!D411*100/110</f>
        <v>50000</v>
      </c>
    </row>
    <row r="197" spans="1:7" ht="15.75">
      <c r="A197" s="290">
        <f t="shared" si="7"/>
        <v>70</v>
      </c>
      <c r="B197" s="291" t="s">
        <v>29</v>
      </c>
      <c r="C197" s="292"/>
      <c r="D197" s="292" t="s">
        <v>136</v>
      </c>
      <c r="E197" s="296">
        <f>E191/2</f>
        <v>75000</v>
      </c>
    </row>
    <row r="198" spans="1:7" ht="15.75">
      <c r="A198" s="290">
        <f t="shared" si="7"/>
        <v>71</v>
      </c>
      <c r="B198" s="291" t="s">
        <v>273</v>
      </c>
      <c r="C198" s="292"/>
      <c r="D198" s="292" t="s">
        <v>136</v>
      </c>
      <c r="E198" s="296">
        <f>E192/2</f>
        <v>75000</v>
      </c>
    </row>
    <row r="199" spans="1:7" ht="15.75">
      <c r="A199" s="290">
        <f t="shared" si="7"/>
        <v>72</v>
      </c>
      <c r="B199" s="291" t="s">
        <v>36</v>
      </c>
      <c r="C199" s="292"/>
      <c r="D199" s="292" t="s">
        <v>136</v>
      </c>
      <c r="E199" s="296">
        <f>[2]Sheet1!D411</f>
        <v>55000</v>
      </c>
    </row>
    <row r="200" spans="1:7" ht="15.75">
      <c r="A200" s="290">
        <f t="shared" si="7"/>
        <v>73</v>
      </c>
      <c r="B200" s="291" t="s">
        <v>274</v>
      </c>
      <c r="C200" s="292"/>
      <c r="D200" s="292" t="s">
        <v>136</v>
      </c>
      <c r="E200" s="296">
        <f>[2]Sheet1!D421</f>
        <v>12500</v>
      </c>
    </row>
    <row r="201" spans="1:7" ht="15.75" hidden="1">
      <c r="A201" s="299"/>
      <c r="B201" s="300" t="s">
        <v>275</v>
      </c>
      <c r="C201" s="301"/>
      <c r="D201" s="301" t="s">
        <v>136</v>
      </c>
      <c r="E201" s="302"/>
    </row>
    <row r="202" spans="1:7" ht="15.75" hidden="1">
      <c r="A202" s="299"/>
      <c r="B202" s="300" t="s">
        <v>276</v>
      </c>
      <c r="C202" s="301"/>
      <c r="D202" s="301" t="s">
        <v>133</v>
      </c>
      <c r="E202" s="302"/>
    </row>
    <row r="203" spans="1:7" ht="15.75" hidden="1">
      <c r="A203" s="299"/>
      <c r="B203" s="300" t="s">
        <v>277</v>
      </c>
      <c r="C203" s="301"/>
      <c r="D203" s="301" t="s">
        <v>133</v>
      </c>
      <c r="E203" s="302"/>
    </row>
    <row r="204" spans="1:7" ht="15.75" hidden="1">
      <c r="A204" s="299"/>
      <c r="B204" s="300" t="s">
        <v>278</v>
      </c>
      <c r="C204" s="301" t="s">
        <v>279</v>
      </c>
      <c r="D204" s="301" t="s">
        <v>20</v>
      </c>
      <c r="E204" s="302"/>
    </row>
    <row r="205" spans="1:7" ht="15.75">
      <c r="A205" s="290">
        <f>A200+1</f>
        <v>74</v>
      </c>
      <c r="B205" s="291" t="s">
        <v>280</v>
      </c>
      <c r="C205" s="292"/>
      <c r="D205" s="292" t="s">
        <v>136</v>
      </c>
      <c r="E205" s="296">
        <f>ROUND(G205,-1)</f>
        <v>157330</v>
      </c>
      <c r="G205" s="120">
        <f>[1]Bahan!$G$41</f>
        <v>157332.5</v>
      </c>
    </row>
    <row r="206" spans="1:7" ht="15.75" hidden="1">
      <c r="A206" s="299"/>
      <c r="B206" s="300" t="s">
        <v>281</v>
      </c>
      <c r="C206" s="301"/>
      <c r="D206" s="301" t="s">
        <v>136</v>
      </c>
      <c r="E206" s="302"/>
    </row>
    <row r="207" spans="1:7" ht="15.75">
      <c r="A207" s="290">
        <f>A205+1</f>
        <v>75</v>
      </c>
      <c r="B207" s="291" t="s">
        <v>28</v>
      </c>
      <c r="C207" s="292"/>
      <c r="D207" s="292" t="s">
        <v>136</v>
      </c>
      <c r="E207" s="296">
        <f>[2]Sheet1!D393</f>
        <v>2500</v>
      </c>
    </row>
    <row r="208" spans="1:7" ht="15.75">
      <c r="A208" s="290">
        <f t="shared" si="7"/>
        <v>76</v>
      </c>
      <c r="B208" s="291" t="s">
        <v>282</v>
      </c>
      <c r="C208" s="292"/>
      <c r="D208" s="292" t="s">
        <v>136</v>
      </c>
      <c r="E208" s="296">
        <f>ROUND(G208,-1)</f>
        <v>270480</v>
      </c>
      <c r="G208" s="120">
        <f>[1]Bahan!$G$42</f>
        <v>270478</v>
      </c>
    </row>
    <row r="209" spans="1:5" ht="15.75" hidden="1">
      <c r="A209" s="299"/>
      <c r="B209" s="300" t="s">
        <v>283</v>
      </c>
      <c r="C209" s="301" t="s">
        <v>284</v>
      </c>
      <c r="D209" s="301" t="s">
        <v>20</v>
      </c>
      <c r="E209" s="302"/>
    </row>
    <row r="210" spans="1:5" ht="15.75">
      <c r="A210" s="290">
        <f>A208+1</f>
        <v>77</v>
      </c>
      <c r="B210" s="291" t="s">
        <v>860</v>
      </c>
      <c r="C210" s="292" t="s">
        <v>285</v>
      </c>
      <c r="D210" s="292" t="s">
        <v>20</v>
      </c>
      <c r="E210" s="297">
        <f>ROUND([2]Sheet1!D493*100/110,-3)</f>
        <v>6000</v>
      </c>
    </row>
    <row r="211" spans="1:5" ht="15.75">
      <c r="A211" s="290">
        <f t="shared" si="7"/>
        <v>78</v>
      </c>
      <c r="B211" s="291" t="s">
        <v>286</v>
      </c>
      <c r="C211" s="292"/>
      <c r="D211" s="292" t="s">
        <v>39</v>
      </c>
      <c r="E211" s="297">
        <f>ROUND([2]Sheet1!D497*100/110,-3)/4</f>
        <v>2250</v>
      </c>
    </row>
    <row r="212" spans="1:5" ht="15.75">
      <c r="A212" s="290">
        <f t="shared" si="7"/>
        <v>79</v>
      </c>
      <c r="B212" s="291" t="s">
        <v>41</v>
      </c>
      <c r="C212" s="292"/>
      <c r="D212" s="292" t="s">
        <v>23</v>
      </c>
      <c r="E212" s="297">
        <f>ROUND([2]Sheet1!D496*100/110,-3)</f>
        <v>5000</v>
      </c>
    </row>
    <row r="213" spans="1:5" ht="15.75">
      <c r="A213" s="290">
        <f t="shared" si="7"/>
        <v>80</v>
      </c>
      <c r="B213" s="291" t="s">
        <v>287</v>
      </c>
      <c r="C213" s="292"/>
      <c r="D213" s="292" t="s">
        <v>40</v>
      </c>
      <c r="E213" s="297">
        <f>ROUND([2]Sheet1!D499*100/110*0.5,-3)</f>
        <v>491000</v>
      </c>
    </row>
    <row r="214" spans="1:5" ht="15.75">
      <c r="A214" s="290">
        <f t="shared" si="7"/>
        <v>81</v>
      </c>
      <c r="B214" s="291" t="s">
        <v>43</v>
      </c>
      <c r="C214" s="292"/>
      <c r="D214" s="292" t="s">
        <v>40</v>
      </c>
      <c r="E214" s="296">
        <f>E213/2</f>
        <v>245500</v>
      </c>
    </row>
    <row r="215" spans="1:5" ht="15.75" hidden="1">
      <c r="A215" s="299"/>
      <c r="B215" s="300" t="s">
        <v>288</v>
      </c>
      <c r="C215" s="301" t="s">
        <v>289</v>
      </c>
      <c r="D215" s="301" t="s">
        <v>290</v>
      </c>
      <c r="E215" s="302"/>
    </row>
    <row r="216" spans="1:5" ht="15.75" hidden="1">
      <c r="A216" s="299"/>
      <c r="B216" s="300" t="s">
        <v>291</v>
      </c>
      <c r="C216" s="301" t="s">
        <v>292</v>
      </c>
      <c r="D216" s="301" t="s">
        <v>290</v>
      </c>
      <c r="E216" s="302"/>
    </row>
    <row r="217" spans="1:5" ht="15.75" hidden="1">
      <c r="A217" s="299"/>
      <c r="B217" s="300" t="s">
        <v>293</v>
      </c>
      <c r="C217" s="301" t="s">
        <v>294</v>
      </c>
      <c r="D217" s="301" t="s">
        <v>290</v>
      </c>
      <c r="E217" s="302"/>
    </row>
    <row r="218" spans="1:5" ht="15.75" hidden="1">
      <c r="A218" s="299"/>
      <c r="B218" s="300" t="s">
        <v>295</v>
      </c>
      <c r="C218" s="301" t="s">
        <v>296</v>
      </c>
      <c r="D218" s="301" t="s">
        <v>290</v>
      </c>
      <c r="E218" s="302"/>
    </row>
    <row r="219" spans="1:5" ht="15.75" hidden="1">
      <c r="A219" s="299"/>
      <c r="B219" s="300" t="s">
        <v>297</v>
      </c>
      <c r="C219" s="301"/>
      <c r="D219" s="301" t="s">
        <v>298</v>
      </c>
      <c r="E219" s="302"/>
    </row>
    <row r="220" spans="1:5" ht="15.75" hidden="1">
      <c r="A220" s="299"/>
      <c r="B220" s="300" t="s">
        <v>299</v>
      </c>
      <c r="C220" s="301" t="s">
        <v>300</v>
      </c>
      <c r="D220" s="301" t="s">
        <v>102</v>
      </c>
      <c r="E220" s="302"/>
    </row>
    <row r="221" spans="1:5" ht="15.75" hidden="1">
      <c r="A221" s="299"/>
      <c r="B221" s="300" t="s">
        <v>301</v>
      </c>
      <c r="C221" s="301"/>
      <c r="D221" s="301" t="s">
        <v>34</v>
      </c>
      <c r="E221" s="302"/>
    </row>
    <row r="222" spans="1:5" ht="15.75" hidden="1">
      <c r="A222" s="299"/>
      <c r="B222" s="300" t="s">
        <v>302</v>
      </c>
      <c r="C222" s="301"/>
      <c r="D222" s="301" t="s">
        <v>34</v>
      </c>
      <c r="E222" s="302"/>
    </row>
    <row r="223" spans="1:5" ht="15.75" hidden="1">
      <c r="A223" s="299"/>
      <c r="B223" s="300" t="s">
        <v>303</v>
      </c>
      <c r="C223" s="301"/>
      <c r="D223" s="301" t="s">
        <v>34</v>
      </c>
      <c r="E223" s="302"/>
    </row>
    <row r="224" spans="1:5" ht="15.75" hidden="1">
      <c r="A224" s="299"/>
      <c r="B224" s="300" t="s">
        <v>304</v>
      </c>
      <c r="C224" s="301"/>
      <c r="D224" s="301" t="s">
        <v>34</v>
      </c>
      <c r="E224" s="302"/>
    </row>
    <row r="225" spans="1:7" ht="15.75" hidden="1">
      <c r="A225" s="299"/>
      <c r="B225" s="300" t="s">
        <v>305</v>
      </c>
      <c r="C225" s="301"/>
      <c r="D225" s="301" t="s">
        <v>34</v>
      </c>
      <c r="E225" s="302"/>
    </row>
    <row r="226" spans="1:7" ht="15.75">
      <c r="A226" s="290">
        <f>A214+1</f>
        <v>82</v>
      </c>
      <c r="B226" s="291" t="s">
        <v>306</v>
      </c>
      <c r="C226" s="292"/>
      <c r="D226" s="292" t="s">
        <v>34</v>
      </c>
      <c r="E226" s="296">
        <f>[2]Sheet1!D30*(0.1*0.2)*2</f>
        <v>4000.0000000000009</v>
      </c>
    </row>
    <row r="227" spans="1:7" ht="15.75" hidden="1">
      <c r="A227" s="299"/>
      <c r="B227" s="300" t="s">
        <v>307</v>
      </c>
      <c r="C227" s="301"/>
      <c r="D227" s="301" t="s">
        <v>34</v>
      </c>
      <c r="E227" s="302"/>
    </row>
    <row r="228" spans="1:7" ht="15.75" hidden="1">
      <c r="A228" s="299"/>
      <c r="B228" s="300" t="s">
        <v>308</v>
      </c>
      <c r="C228" s="301"/>
      <c r="D228" s="301" t="s">
        <v>34</v>
      </c>
      <c r="E228" s="302"/>
    </row>
    <row r="229" spans="1:7" ht="15.75" hidden="1">
      <c r="A229" s="299"/>
      <c r="B229" s="300" t="s">
        <v>309</v>
      </c>
      <c r="C229" s="301"/>
      <c r="D229" s="301" t="s">
        <v>34</v>
      </c>
      <c r="E229" s="302"/>
    </row>
    <row r="230" spans="1:7" ht="15.75">
      <c r="A230" s="290">
        <f>A226+1</f>
        <v>83</v>
      </c>
      <c r="B230" s="291" t="s">
        <v>310</v>
      </c>
      <c r="C230" s="292"/>
      <c r="D230" s="292" t="s">
        <v>34</v>
      </c>
      <c r="E230" s="296">
        <f>[2]Sheet1!D33*3.5</f>
        <v>123900</v>
      </c>
    </row>
    <row r="231" spans="1:7" ht="15.75" hidden="1">
      <c r="A231" s="299"/>
      <c r="B231" s="300" t="s">
        <v>311</v>
      </c>
      <c r="C231" s="301"/>
      <c r="D231" s="301" t="s">
        <v>197</v>
      </c>
      <c r="E231" s="302"/>
    </row>
    <row r="232" spans="1:7" ht="15.75" hidden="1">
      <c r="A232" s="299"/>
      <c r="B232" s="300" t="s">
        <v>312</v>
      </c>
      <c r="C232" s="301"/>
      <c r="D232" s="301" t="s">
        <v>197</v>
      </c>
      <c r="E232" s="302"/>
    </row>
    <row r="233" spans="1:7" ht="15.75">
      <c r="A233" s="290">
        <f>A230+1</f>
        <v>84</v>
      </c>
      <c r="B233" s="291" t="s">
        <v>313</v>
      </c>
      <c r="C233" s="292"/>
      <c r="D233" s="292" t="s">
        <v>23</v>
      </c>
      <c r="E233" s="297">
        <f>ROUND([2]Sheet1!D118*100/110,-1)</f>
        <v>65450</v>
      </c>
    </row>
    <row r="234" spans="1:7" ht="15.75" hidden="1">
      <c r="A234" s="299"/>
      <c r="B234" s="300" t="s">
        <v>314</v>
      </c>
      <c r="C234" s="301" t="s">
        <v>315</v>
      </c>
      <c r="D234" s="301" t="s">
        <v>20</v>
      </c>
      <c r="E234" s="302"/>
    </row>
    <row r="235" spans="1:7" ht="15.75" hidden="1">
      <c r="A235" s="299"/>
      <c r="B235" s="300" t="s">
        <v>316</v>
      </c>
      <c r="C235" s="301"/>
      <c r="D235" s="301" t="s">
        <v>177</v>
      </c>
      <c r="E235" s="302"/>
    </row>
    <row r="236" spans="1:7" ht="15.75" hidden="1">
      <c r="A236" s="299"/>
      <c r="B236" s="300" t="s">
        <v>317</v>
      </c>
      <c r="C236" s="301"/>
      <c r="D236" s="301" t="s">
        <v>177</v>
      </c>
      <c r="E236" s="302"/>
    </row>
    <row r="237" spans="1:7" ht="15.75" hidden="1">
      <c r="A237" s="299"/>
      <c r="B237" s="300" t="s">
        <v>318</v>
      </c>
      <c r="C237" s="301"/>
      <c r="D237" s="301" t="s">
        <v>39</v>
      </c>
      <c r="E237" s="302"/>
    </row>
    <row r="238" spans="1:7" ht="15.75" hidden="1">
      <c r="A238" s="299"/>
      <c r="B238" s="300" t="s">
        <v>319</v>
      </c>
      <c r="C238" s="301"/>
      <c r="D238" s="301" t="s">
        <v>20</v>
      </c>
      <c r="E238" s="302"/>
    </row>
    <row r="239" spans="1:7" ht="15.75" hidden="1">
      <c r="A239" s="299"/>
      <c r="B239" s="300" t="s">
        <v>320</v>
      </c>
      <c r="C239" s="301"/>
      <c r="D239" s="301" t="s">
        <v>177</v>
      </c>
      <c r="E239" s="302"/>
    </row>
    <row r="240" spans="1:7" ht="15.75">
      <c r="A240" s="290">
        <f>A233+1</f>
        <v>85</v>
      </c>
      <c r="B240" s="291" t="s">
        <v>321</v>
      </c>
      <c r="C240" s="292"/>
      <c r="D240" s="292" t="s">
        <v>197</v>
      </c>
      <c r="E240" s="296">
        <f>ROUND(G240,-1)</f>
        <v>731250</v>
      </c>
      <c r="G240" s="120">
        <f>[1]Bahan!$G$12</f>
        <v>731250</v>
      </c>
    </row>
    <row r="241" spans="1:7" ht="15.75">
      <c r="A241" s="290">
        <f t="shared" ref="A241:A242" si="9">A240+1</f>
        <v>86</v>
      </c>
      <c r="B241" s="291" t="s">
        <v>18</v>
      </c>
      <c r="C241" s="292"/>
      <c r="D241" s="292" t="s">
        <v>322</v>
      </c>
      <c r="E241" s="296">
        <f>ROUND(G241,-1)</f>
        <v>85000</v>
      </c>
      <c r="G241" s="120">
        <f>[1]Sub!$G$41</f>
        <v>85000</v>
      </c>
    </row>
    <row r="242" spans="1:7" ht="15.75">
      <c r="A242" s="290">
        <f t="shared" si="9"/>
        <v>87</v>
      </c>
      <c r="B242" s="291" t="s">
        <v>323</v>
      </c>
      <c r="C242" s="292"/>
      <c r="D242" s="292" t="s">
        <v>102</v>
      </c>
      <c r="E242" s="296">
        <f>ROUND(G242,-1)</f>
        <v>680000</v>
      </c>
      <c r="G242" s="120">
        <v>680000</v>
      </c>
    </row>
    <row r="243" spans="1:7" ht="15.75" hidden="1">
      <c r="A243" s="299"/>
      <c r="B243" s="300" t="s">
        <v>324</v>
      </c>
      <c r="C243" s="301"/>
      <c r="D243" s="301" t="s">
        <v>102</v>
      </c>
      <c r="E243" s="302"/>
    </row>
    <row r="244" spans="1:7" ht="15.75" hidden="1">
      <c r="A244" s="299"/>
      <c r="B244" s="300" t="s">
        <v>325</v>
      </c>
      <c r="C244" s="301"/>
      <c r="D244" s="301" t="s">
        <v>102</v>
      </c>
      <c r="E244" s="302"/>
    </row>
    <row r="245" spans="1:7" ht="15.75" hidden="1">
      <c r="A245" s="299"/>
      <c r="B245" s="300" t="s">
        <v>326</v>
      </c>
      <c r="C245" s="301"/>
      <c r="D245" s="301" t="s">
        <v>102</v>
      </c>
      <c r="E245" s="302"/>
    </row>
    <row r="246" spans="1:7" ht="15.75" hidden="1">
      <c r="A246" s="299"/>
      <c r="B246" s="300" t="s">
        <v>327</v>
      </c>
      <c r="C246" s="301"/>
      <c r="D246" s="301" t="s">
        <v>102</v>
      </c>
      <c r="E246" s="302"/>
    </row>
    <row r="247" spans="1:7" ht="15.75">
      <c r="A247" s="290">
        <f>A242+1</f>
        <v>88</v>
      </c>
      <c r="B247" s="291" t="s">
        <v>328</v>
      </c>
      <c r="C247" s="292"/>
      <c r="D247" s="292" t="s">
        <v>102</v>
      </c>
      <c r="E247" s="296">
        <f>ROUND(G247*1.1,-1)</f>
        <v>990000</v>
      </c>
      <c r="G247" s="120">
        <f>[1]Bahan!$G$9</f>
        <v>900000</v>
      </c>
    </row>
    <row r="248" spans="1:7" ht="15.75" hidden="1">
      <c r="A248" s="299"/>
      <c r="B248" s="300" t="s">
        <v>329</v>
      </c>
      <c r="C248" s="301"/>
      <c r="D248" s="301" t="s">
        <v>102</v>
      </c>
      <c r="E248" s="302"/>
    </row>
    <row r="249" spans="1:7" ht="15.75" hidden="1">
      <c r="A249" s="299"/>
      <c r="B249" s="300" t="s">
        <v>330</v>
      </c>
      <c r="C249" s="301"/>
      <c r="D249" s="301" t="s">
        <v>102</v>
      </c>
      <c r="E249" s="302"/>
    </row>
    <row r="250" spans="1:7" ht="15.75">
      <c r="A250" s="290"/>
      <c r="B250" s="291"/>
      <c r="C250" s="292"/>
      <c r="D250" s="292"/>
      <c r="E250" s="296"/>
    </row>
    <row r="251" spans="1:7" ht="15.75">
      <c r="A251" s="294" t="s">
        <v>346</v>
      </c>
      <c r="B251" s="295" t="s">
        <v>852</v>
      </c>
      <c r="C251" s="292"/>
      <c r="D251" s="292"/>
      <c r="E251" s="296"/>
    </row>
    <row r="252" spans="1:7" ht="15.75">
      <c r="A252" s="290">
        <v>1</v>
      </c>
      <c r="B252" s="291" t="s">
        <v>347</v>
      </c>
      <c r="C252" s="292"/>
      <c r="D252" s="292" t="s">
        <v>16</v>
      </c>
      <c r="E252" s="296">
        <f>E255*2</f>
        <v>42420</v>
      </c>
    </row>
    <row r="253" spans="1:7" ht="15.75">
      <c r="A253" s="290">
        <f>A252+1</f>
        <v>2</v>
      </c>
      <c r="B253" s="291" t="s">
        <v>348</v>
      </c>
      <c r="C253" s="292" t="s">
        <v>349</v>
      </c>
      <c r="D253" s="292" t="s">
        <v>16</v>
      </c>
      <c r="E253" s="296">
        <f>E255*1.5</f>
        <v>31815</v>
      </c>
    </row>
    <row r="254" spans="1:7" ht="15.75" hidden="1">
      <c r="A254" s="299"/>
      <c r="B254" s="300" t="s">
        <v>350</v>
      </c>
      <c r="C254" s="301" t="s">
        <v>351</v>
      </c>
      <c r="D254" s="301" t="s">
        <v>16</v>
      </c>
      <c r="E254" s="302"/>
    </row>
    <row r="255" spans="1:7" ht="15.75">
      <c r="A255" s="290">
        <f>A253+1</f>
        <v>3</v>
      </c>
      <c r="B255" s="291" t="s">
        <v>352</v>
      </c>
      <c r="C255" s="292" t="s">
        <v>353</v>
      </c>
      <c r="D255" s="292" t="s">
        <v>16</v>
      </c>
      <c r="E255" s="296">
        <f>ROUND(G255,-1)</f>
        <v>21210</v>
      </c>
      <c r="G255" s="120">
        <f>[1]Alat!$G$9</f>
        <v>21205.8</v>
      </c>
    </row>
    <row r="256" spans="1:7" ht="15.75">
      <c r="A256" s="290">
        <f t="shared" ref="A256:A257" si="10">A255+1</f>
        <v>4</v>
      </c>
      <c r="B256" s="291" t="s">
        <v>354</v>
      </c>
      <c r="C256" s="292" t="s">
        <v>355</v>
      </c>
      <c r="D256" s="292" t="s">
        <v>16</v>
      </c>
      <c r="E256" s="296">
        <f>E255*3</f>
        <v>63630</v>
      </c>
    </row>
    <row r="257" spans="1:7" ht="15.75">
      <c r="A257" s="290">
        <f t="shared" si="10"/>
        <v>5</v>
      </c>
      <c r="B257" s="291" t="s">
        <v>17</v>
      </c>
      <c r="C257" s="292"/>
      <c r="D257" s="292" t="s">
        <v>16</v>
      </c>
      <c r="E257" s="296">
        <f>ROUND(G257,-1)</f>
        <v>250000</v>
      </c>
      <c r="G257" s="120">
        <f>[1]Alat!$G$27</f>
        <v>250000</v>
      </c>
    </row>
    <row r="258" spans="1:7" ht="15.75" hidden="1">
      <c r="A258" s="299"/>
      <c r="B258" s="300" t="s">
        <v>356</v>
      </c>
      <c r="C258" s="301" t="s">
        <v>357</v>
      </c>
      <c r="D258" s="301" t="s">
        <v>16</v>
      </c>
      <c r="E258" s="302"/>
    </row>
    <row r="259" spans="1:7" ht="15.75" hidden="1">
      <c r="A259" s="299"/>
      <c r="B259" s="300" t="s">
        <v>358</v>
      </c>
      <c r="C259" s="301" t="s">
        <v>359</v>
      </c>
      <c r="D259" s="301" t="s">
        <v>16</v>
      </c>
      <c r="E259" s="302"/>
    </row>
    <row r="260" spans="1:7" ht="15.75" hidden="1">
      <c r="A260" s="299"/>
      <c r="B260" s="300" t="s">
        <v>360</v>
      </c>
      <c r="C260" s="301" t="s">
        <v>361</v>
      </c>
      <c r="D260" s="301" t="s">
        <v>16</v>
      </c>
      <c r="E260" s="302"/>
    </row>
    <row r="261" spans="1:7" ht="15.75" hidden="1">
      <c r="A261" s="299"/>
      <c r="B261" s="300" t="s">
        <v>362</v>
      </c>
      <c r="C261" s="301" t="s">
        <v>363</v>
      </c>
      <c r="D261" s="301" t="s">
        <v>16</v>
      </c>
      <c r="E261" s="302"/>
    </row>
    <row r="262" spans="1:7" ht="15.75">
      <c r="A262" s="290">
        <f>A257+1</f>
        <v>6</v>
      </c>
      <c r="B262" s="291" t="s">
        <v>364</v>
      </c>
      <c r="C262" s="292" t="s">
        <v>365</v>
      </c>
      <c r="D262" s="292" t="s">
        <v>16</v>
      </c>
      <c r="E262" s="296">
        <f>E257</f>
        <v>250000</v>
      </c>
    </row>
    <row r="263" spans="1:7" ht="15.75" hidden="1">
      <c r="A263" s="299"/>
      <c r="B263" s="300" t="s">
        <v>366</v>
      </c>
      <c r="C263" s="301"/>
      <c r="D263" s="301" t="s">
        <v>338</v>
      </c>
      <c r="E263" s="302"/>
    </row>
    <row r="264" spans="1:7" ht="15.75" hidden="1">
      <c r="A264" s="299"/>
      <c r="B264" s="300" t="s">
        <v>367</v>
      </c>
      <c r="C264" s="301"/>
      <c r="D264" s="301" t="s">
        <v>368</v>
      </c>
      <c r="E264" s="302"/>
    </row>
    <row r="265" spans="1:7" ht="16.5" thickBot="1">
      <c r="A265" s="303"/>
      <c r="B265" s="304"/>
      <c r="C265" s="305"/>
      <c r="D265" s="305"/>
      <c r="E265" s="306"/>
    </row>
    <row r="266" spans="1:7" ht="15" thickTop="1"/>
  </sheetData>
  <mergeCells count="5">
    <mergeCell ref="A2:E2"/>
    <mergeCell ref="A3:E3"/>
    <mergeCell ref="A5:A6"/>
    <mergeCell ref="B5:B6"/>
    <mergeCell ref="D5:D6"/>
  </mergeCells>
  <hyperlinks>
    <hyperlink ref="E17" r:id="rId1" display="=@round(100000*100/110,-3)"/>
    <hyperlink ref="E18" r:id="rId2" display="=@round(100000*100/110,-3)"/>
    <hyperlink ref="E19" r:id="rId3" display="=@round(100000*100/110,-3)"/>
    <hyperlink ref="E20" r:id="rId4" display="=@round(100000*100/110,-3)"/>
    <hyperlink ref="E21" r:id="rId5" display="=@round(100000*100/110,-3)"/>
    <hyperlink ref="E210" r:id="rId6" display="=@round(Sheet1!D493*100/110,-3)"/>
    <hyperlink ref="E211" r:id="rId7" display="=@round(Sheet1!D497*100/110,-3)"/>
    <hyperlink ref="E212" r:id="rId8" display="=@round(Sheet1!D496*100/110,-3)"/>
    <hyperlink ref="E213" r:id="rId9" display="=@round(Sheet1!D499*100/110,-3)"/>
    <hyperlink ref="E90" r:id="rId10" display="=@ROUND(18000*100/110/3,-1)"/>
    <hyperlink ref="E77" r:id="rId11" display="=@ROUND(Sheet1!D269/4,-1)"/>
    <hyperlink ref="E50" r:id="rId12" display="=@ROUND(40000*100/110*0.6,-1)"/>
    <hyperlink ref="E67" r:id="rId13" display="=@ROUND(Sheet1!D124*100/110*0.9,-1)"/>
    <hyperlink ref="E69" r:id="rId14" display="=@ROUND(Sheet1!D256,-1)"/>
    <hyperlink ref="E73" r:id="rId15" display="=@ROUND(Sheet1!D270/3,-1)"/>
    <hyperlink ref="E78" r:id="rId16" display="=@ROUND(1234000/40*100/110*0.9,-1)"/>
    <hyperlink ref="E113" r:id="rId17" display="=@ROUND(E118/12*9,-1)"/>
    <hyperlink ref="E115" r:id="rId18" display="=@ROUND(Sheet1!D108/(1.2*2.4)*100/110*2.5,-1)"/>
    <hyperlink ref="E148" r:id="rId19" display="=@ROUND(Sheet1!D367/3*100/110*4,-1)"/>
    <hyperlink ref="E152" r:id="rId20" display="=@ROUND(Sheet1!D368*3,-1)"/>
    <hyperlink ref="E189" r:id="rId21" display="=@ROUND(Sheet1!$D$401*100/110,-1)"/>
    <hyperlink ref="E233" r:id="rId22" display="=@ROUND(Sheet1!D118*100/110,-1)"/>
    <hyperlink ref="E11" r:id="rId23" display="=@round(100000*100/110,-3)"/>
  </hyperlinks>
  <pageMargins left="0.7" right="0.7" top="0.75" bottom="0.75" header="0.3" footer="0.3"/>
  <pageSetup scale="8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L1727"/>
  <sheetViews>
    <sheetView view="pageBreakPreview" topLeftCell="A161" zoomScale="85" zoomScaleSheetLayoutView="85" workbookViewId="0">
      <selection activeCell="A3" sqref="A3:I3"/>
    </sheetView>
  </sheetViews>
  <sheetFormatPr defaultRowHeight="12.75"/>
  <cols>
    <col min="1" max="1" width="4.42578125" style="307" customWidth="1"/>
    <col min="2" max="2" width="9" style="307" customWidth="1"/>
    <col min="3" max="3" width="3.7109375" style="307" bestFit="1" customWidth="1"/>
    <col min="4" max="4" width="21.28515625" style="307" customWidth="1"/>
    <col min="5" max="5" width="7.42578125" style="307" customWidth="1"/>
    <col min="6" max="6" width="13.42578125" style="308" bestFit="1" customWidth="1"/>
    <col min="7" max="7" width="12.42578125" style="308" bestFit="1" customWidth="1"/>
    <col min="8" max="8" width="13.42578125" style="308" bestFit="1" customWidth="1"/>
    <col min="9" max="9" width="20" style="308" bestFit="1" customWidth="1"/>
    <col min="10" max="10" width="10.85546875" style="307" bestFit="1" customWidth="1"/>
    <col min="11" max="16384" width="9.140625" style="307"/>
  </cols>
  <sheetData>
    <row r="2" spans="1:9">
      <c r="A2" s="671" t="s">
        <v>973</v>
      </c>
      <c r="B2" s="671"/>
      <c r="C2" s="671"/>
      <c r="D2" s="671"/>
      <c r="E2" s="671"/>
      <c r="F2" s="671"/>
      <c r="G2" s="671"/>
      <c r="H2" s="671"/>
      <c r="I2" s="671"/>
    </row>
    <row r="3" spans="1:9">
      <c r="A3" s="671" t="s">
        <v>396</v>
      </c>
      <c r="B3" s="671"/>
      <c r="C3" s="671"/>
      <c r="D3" s="671"/>
      <c r="E3" s="671"/>
      <c r="F3" s="671"/>
      <c r="G3" s="671"/>
      <c r="H3" s="671"/>
      <c r="I3" s="671"/>
    </row>
    <row r="4" spans="1:9" ht="13.5" thickBot="1"/>
    <row r="5" spans="1:9" ht="14.25" thickTop="1" thickBot="1">
      <c r="A5" s="495" t="s">
        <v>0</v>
      </c>
      <c r="B5" s="496" t="s">
        <v>397</v>
      </c>
      <c r="C5" s="496" t="s">
        <v>398</v>
      </c>
      <c r="D5" s="496" t="s">
        <v>1</v>
      </c>
      <c r="E5" s="497"/>
      <c r="F5" s="498" t="s">
        <v>399</v>
      </c>
      <c r="G5" s="498" t="s">
        <v>400</v>
      </c>
      <c r="H5" s="498" t="s">
        <v>401</v>
      </c>
      <c r="I5" s="499" t="s">
        <v>402</v>
      </c>
    </row>
    <row r="6" spans="1:9" ht="14.25" hidden="1" thickTop="1" thickBot="1">
      <c r="A6" s="314"/>
      <c r="B6" s="315"/>
      <c r="C6" s="316"/>
      <c r="D6" s="316"/>
      <c r="E6" s="316"/>
      <c r="F6" s="317"/>
      <c r="G6" s="317"/>
      <c r="H6" s="317"/>
      <c r="I6" s="318"/>
    </row>
    <row r="7" spans="1:9" ht="14.25" hidden="1" thickTop="1" thickBot="1">
      <c r="A7" s="319" t="s">
        <v>2</v>
      </c>
      <c r="B7" s="320" t="s">
        <v>403</v>
      </c>
      <c r="C7" s="321"/>
      <c r="D7" s="321"/>
      <c r="E7" s="321"/>
      <c r="F7" s="322"/>
      <c r="G7" s="322"/>
      <c r="H7" s="322"/>
      <c r="I7" s="323"/>
    </row>
    <row r="8" spans="1:9" ht="13.5" hidden="1" thickTop="1">
      <c r="A8" s="324"/>
      <c r="B8" s="325"/>
      <c r="C8" s="326"/>
      <c r="D8" s="326"/>
      <c r="E8" s="326"/>
      <c r="F8" s="327"/>
      <c r="G8" s="327"/>
      <c r="H8" s="327"/>
      <c r="I8" s="328"/>
    </row>
    <row r="9" spans="1:9" hidden="1">
      <c r="A9" s="329">
        <v>1</v>
      </c>
      <c r="B9" s="330" t="s">
        <v>404</v>
      </c>
      <c r="C9" s="331"/>
      <c r="D9" s="331"/>
      <c r="E9" s="331"/>
      <c r="F9" s="332"/>
      <c r="G9" s="332"/>
      <c r="H9" s="332"/>
      <c r="I9" s="333"/>
    </row>
    <row r="10" spans="1:9" hidden="1">
      <c r="A10" s="334"/>
      <c r="B10" s="335">
        <v>5.0000000000000001E-3</v>
      </c>
      <c r="C10" s="336"/>
      <c r="D10" s="336" t="s">
        <v>3</v>
      </c>
      <c r="E10" s="336"/>
      <c r="F10" s="337">
        <f>[2]Hardas!$E$10</f>
        <v>100000</v>
      </c>
      <c r="G10" s="338">
        <f>F10*B10</f>
        <v>500</v>
      </c>
      <c r="H10" s="338"/>
      <c r="I10" s="339"/>
    </row>
    <row r="11" spans="1:9" hidden="1">
      <c r="A11" s="334"/>
      <c r="B11" s="335">
        <v>0.01</v>
      </c>
      <c r="C11" s="336"/>
      <c r="D11" s="336" t="s">
        <v>4</v>
      </c>
      <c r="E11" s="336"/>
      <c r="F11" s="338">
        <f>[2]Hardas!$E$11</f>
        <v>91000</v>
      </c>
      <c r="G11" s="338">
        <f>F11*B11</f>
        <v>910</v>
      </c>
      <c r="H11" s="338"/>
      <c r="I11" s="339"/>
    </row>
    <row r="12" spans="1:9" hidden="1">
      <c r="A12" s="334"/>
      <c r="B12" s="335">
        <v>0.1</v>
      </c>
      <c r="C12" s="336"/>
      <c r="D12" s="336" t="s">
        <v>5</v>
      </c>
      <c r="E12" s="336"/>
      <c r="F12" s="338">
        <f>[2]Hardas!$E$13</f>
        <v>82000</v>
      </c>
      <c r="G12" s="338">
        <f>F12*B12</f>
        <v>8200</v>
      </c>
      <c r="H12" s="338"/>
      <c r="I12" s="339"/>
    </row>
    <row r="13" spans="1:9" hidden="1">
      <c r="A13" s="334"/>
      <c r="B13" s="335">
        <v>0.1</v>
      </c>
      <c r="C13" s="336"/>
      <c r="D13" s="336" t="s">
        <v>6</v>
      </c>
      <c r="E13" s="336"/>
      <c r="F13" s="338">
        <f>[2]Hardas!$E$21</f>
        <v>59000</v>
      </c>
      <c r="G13" s="338">
        <f>F13*B13</f>
        <v>5900</v>
      </c>
      <c r="H13" s="338"/>
      <c r="I13" s="339"/>
    </row>
    <row r="14" spans="1:9" hidden="1">
      <c r="A14" s="329"/>
      <c r="B14" s="330"/>
      <c r="C14" s="331"/>
      <c r="D14" s="331"/>
      <c r="E14" s="331" t="s">
        <v>405</v>
      </c>
      <c r="F14" s="332"/>
      <c r="G14" s="332"/>
      <c r="H14" s="332"/>
      <c r="I14" s="333">
        <f>SUM(G10:G14)</f>
        <v>15510</v>
      </c>
    </row>
    <row r="15" spans="1:9" hidden="1">
      <c r="A15" s="334"/>
      <c r="B15" s="335"/>
      <c r="C15" s="336"/>
      <c r="D15" s="336"/>
      <c r="E15" s="336"/>
      <c r="F15" s="338"/>
      <c r="G15" s="338"/>
      <c r="H15" s="338"/>
      <c r="I15" s="339"/>
    </row>
    <row r="16" spans="1:9" hidden="1">
      <c r="A16" s="334"/>
      <c r="B16" s="335">
        <v>1.2E-2</v>
      </c>
      <c r="C16" s="336" t="s">
        <v>406</v>
      </c>
      <c r="D16" s="336" t="s">
        <v>407</v>
      </c>
      <c r="E16" s="336"/>
      <c r="F16" s="338">
        <f>[2]Hardas!$E$50</f>
        <v>1800000</v>
      </c>
      <c r="G16" s="338"/>
      <c r="H16" s="338">
        <f>F16*B16</f>
        <v>21600</v>
      </c>
      <c r="I16" s="339"/>
    </row>
    <row r="17" spans="1:9" hidden="1">
      <c r="A17" s="334"/>
      <c r="B17" s="335">
        <v>0.02</v>
      </c>
      <c r="C17" s="336" t="s">
        <v>7</v>
      </c>
      <c r="D17" s="336" t="s">
        <v>408</v>
      </c>
      <c r="E17" s="336"/>
      <c r="F17" s="338">
        <f>[2]Hardas!$E$60</f>
        <v>10500</v>
      </c>
      <c r="G17" s="338"/>
      <c r="H17" s="338">
        <f>F17*B17</f>
        <v>210</v>
      </c>
      <c r="I17" s="339"/>
    </row>
    <row r="18" spans="1:9" hidden="1">
      <c r="A18" s="334"/>
      <c r="B18" s="335">
        <v>7.0000000000000001E-3</v>
      </c>
      <c r="C18" s="336" t="s">
        <v>406</v>
      </c>
      <c r="D18" s="336" t="s">
        <v>409</v>
      </c>
      <c r="E18" s="336"/>
      <c r="F18" s="338">
        <f>[2]Hardas!$E$49</f>
        <v>1800000</v>
      </c>
      <c r="G18" s="338"/>
      <c r="H18" s="338">
        <f>F18*B18</f>
        <v>12600</v>
      </c>
      <c r="I18" s="339"/>
    </row>
    <row r="19" spans="1:9" hidden="1">
      <c r="A19" s="329"/>
      <c r="B19" s="330"/>
      <c r="C19" s="331"/>
      <c r="D19" s="331"/>
      <c r="E19" s="331" t="s">
        <v>410</v>
      </c>
      <c r="F19" s="332"/>
      <c r="G19" s="332"/>
      <c r="H19" s="332"/>
      <c r="I19" s="333">
        <f>SUM(H16:H19)</f>
        <v>34410</v>
      </c>
    </row>
    <row r="20" spans="1:9" hidden="1">
      <c r="A20" s="334"/>
      <c r="B20" s="335"/>
      <c r="C20" s="336"/>
      <c r="D20" s="336"/>
      <c r="E20" s="336"/>
      <c r="F20" s="338"/>
      <c r="G20" s="338"/>
      <c r="H20" s="338"/>
      <c r="I20" s="339"/>
    </row>
    <row r="21" spans="1:9" hidden="1">
      <c r="A21" s="334"/>
      <c r="B21" s="335"/>
      <c r="C21" s="336"/>
      <c r="D21" s="336"/>
      <c r="E21" s="336"/>
      <c r="F21" s="338"/>
      <c r="G21" s="338"/>
      <c r="H21" s="338"/>
      <c r="I21" s="339"/>
    </row>
    <row r="22" spans="1:9" hidden="1">
      <c r="A22" s="329"/>
      <c r="B22" s="330"/>
      <c r="C22" s="331"/>
      <c r="D22" s="331"/>
      <c r="E22" s="331" t="s">
        <v>411</v>
      </c>
      <c r="F22" s="332"/>
      <c r="G22" s="332"/>
      <c r="H22" s="332"/>
      <c r="I22" s="333"/>
    </row>
    <row r="23" spans="1:9" hidden="1">
      <c r="A23" s="340"/>
      <c r="B23" s="330"/>
      <c r="C23" s="331"/>
      <c r="D23" s="331" t="s">
        <v>412</v>
      </c>
      <c r="E23" s="331"/>
      <c r="F23" s="332"/>
      <c r="G23" s="332"/>
      <c r="H23" s="332"/>
      <c r="I23" s="333">
        <f>SUM(I10:I22)</f>
        <v>49920</v>
      </c>
    </row>
    <row r="24" spans="1:9" hidden="1">
      <c r="A24" s="340"/>
      <c r="B24" s="330"/>
      <c r="C24" s="331"/>
      <c r="D24" s="331" t="s">
        <v>413</v>
      </c>
      <c r="E24" s="331"/>
      <c r="F24" s="332"/>
      <c r="G24" s="332"/>
      <c r="H24" s="332"/>
      <c r="I24" s="333">
        <f>I23*0.1</f>
        <v>4992</v>
      </c>
    </row>
    <row r="25" spans="1:9" hidden="1">
      <c r="A25" s="340"/>
      <c r="B25" s="330"/>
      <c r="C25" s="331"/>
      <c r="D25" s="331" t="s">
        <v>414</v>
      </c>
      <c r="E25" s="331"/>
      <c r="F25" s="332"/>
      <c r="G25" s="332"/>
      <c r="H25" s="332"/>
      <c r="I25" s="333">
        <f>ROUNDDOWN(I24+I23,0)</f>
        <v>54912</v>
      </c>
    </row>
    <row r="26" spans="1:9" ht="13.5" hidden="1" thickBot="1">
      <c r="A26" s="341"/>
      <c r="B26" s="342"/>
      <c r="C26" s="343"/>
      <c r="D26" s="343"/>
      <c r="E26" s="343"/>
      <c r="F26" s="344"/>
      <c r="G26" s="344"/>
      <c r="H26" s="344"/>
      <c r="I26" s="345"/>
    </row>
    <row r="27" spans="1:9" ht="14.25" hidden="1" thickTop="1" thickBot="1">
      <c r="A27" s="309" t="s">
        <v>0</v>
      </c>
      <c r="B27" s="310" t="s">
        <v>397</v>
      </c>
      <c r="C27" s="310" t="s">
        <v>398</v>
      </c>
      <c r="D27" s="310" t="s">
        <v>1</v>
      </c>
      <c r="E27" s="311"/>
      <c r="F27" s="312" t="s">
        <v>399</v>
      </c>
      <c r="G27" s="312" t="s">
        <v>400</v>
      </c>
      <c r="H27" s="312" t="s">
        <v>401</v>
      </c>
      <c r="I27" s="313" t="s">
        <v>402</v>
      </c>
    </row>
    <row r="28" spans="1:9" ht="13.5" hidden="1" thickTop="1">
      <c r="A28" s="346"/>
      <c r="B28" s="347"/>
      <c r="C28" s="348"/>
      <c r="D28" s="348"/>
      <c r="E28" s="348"/>
      <c r="F28" s="349"/>
      <c r="G28" s="349"/>
      <c r="H28" s="349"/>
      <c r="I28" s="350"/>
    </row>
    <row r="29" spans="1:9" hidden="1">
      <c r="A29" s="329">
        <v>2</v>
      </c>
      <c r="B29" s="330" t="s">
        <v>415</v>
      </c>
      <c r="C29" s="331"/>
      <c r="D29" s="331"/>
      <c r="E29" s="331"/>
      <c r="F29" s="332"/>
      <c r="G29" s="332"/>
      <c r="H29" s="332"/>
      <c r="I29" s="333"/>
    </row>
    <row r="30" spans="1:9" hidden="1">
      <c r="A30" s="334"/>
      <c r="B30" s="335">
        <v>0.05</v>
      </c>
      <c r="C30" s="336"/>
      <c r="D30" s="336" t="s">
        <v>3</v>
      </c>
      <c r="E30" s="336"/>
      <c r="F30" s="337">
        <f>[2]Hardas!$E$10</f>
        <v>100000</v>
      </c>
      <c r="G30" s="338">
        <f>F30*B30</f>
        <v>5000</v>
      </c>
      <c r="H30" s="338"/>
      <c r="I30" s="339"/>
    </row>
    <row r="31" spans="1:9" hidden="1">
      <c r="A31" s="334"/>
      <c r="B31" s="335">
        <v>0.1</v>
      </c>
      <c r="C31" s="336"/>
      <c r="D31" s="336" t="s">
        <v>6</v>
      </c>
      <c r="E31" s="336"/>
      <c r="F31" s="338">
        <f>[2]Hardas!$E$22</f>
        <v>50000</v>
      </c>
      <c r="G31" s="338">
        <f>F31*B31</f>
        <v>5000</v>
      </c>
      <c r="H31" s="338"/>
      <c r="I31" s="339"/>
    </row>
    <row r="32" spans="1:9" hidden="1">
      <c r="A32" s="340"/>
      <c r="B32" s="330"/>
      <c r="C32" s="331"/>
      <c r="D32" s="331"/>
      <c r="E32" s="331" t="s">
        <v>857</v>
      </c>
      <c r="F32" s="332"/>
      <c r="G32" s="332"/>
      <c r="H32" s="332"/>
      <c r="I32" s="333">
        <f>SUM(G30:G32)</f>
        <v>10000</v>
      </c>
    </row>
    <row r="33" spans="1:9" hidden="1">
      <c r="A33" s="334"/>
      <c r="B33" s="335"/>
      <c r="C33" s="336"/>
      <c r="D33" s="336"/>
      <c r="E33" s="336"/>
      <c r="F33" s="338"/>
      <c r="G33" s="338"/>
      <c r="H33" s="338"/>
      <c r="I33" s="339"/>
    </row>
    <row r="34" spans="1:9" hidden="1">
      <c r="A34" s="334"/>
      <c r="B34" s="335"/>
      <c r="C34" s="336"/>
      <c r="D34" s="336"/>
      <c r="E34" s="336"/>
      <c r="F34" s="338"/>
      <c r="G34" s="338"/>
      <c r="H34" s="338"/>
      <c r="I34" s="339"/>
    </row>
    <row r="35" spans="1:9" hidden="1">
      <c r="A35" s="340"/>
      <c r="B35" s="330"/>
      <c r="C35" s="331"/>
      <c r="D35" s="331"/>
      <c r="E35" s="331" t="s">
        <v>858</v>
      </c>
      <c r="F35" s="332"/>
      <c r="G35" s="332"/>
      <c r="H35" s="332"/>
      <c r="I35" s="333"/>
    </row>
    <row r="36" spans="1:9" hidden="1">
      <c r="A36" s="329"/>
      <c r="B36" s="330"/>
      <c r="C36" s="331"/>
      <c r="D36" s="331" t="s">
        <v>412</v>
      </c>
      <c r="E36" s="331"/>
      <c r="F36" s="332"/>
      <c r="G36" s="332"/>
      <c r="H36" s="332"/>
      <c r="I36" s="333">
        <f>SUM(I30:I35)</f>
        <v>10000</v>
      </c>
    </row>
    <row r="37" spans="1:9" hidden="1">
      <c r="A37" s="329"/>
      <c r="B37" s="330"/>
      <c r="C37" s="331"/>
      <c r="D37" s="331" t="s">
        <v>413</v>
      </c>
      <c r="E37" s="331"/>
      <c r="F37" s="332"/>
      <c r="G37" s="332"/>
      <c r="H37" s="332"/>
      <c r="I37" s="333">
        <f>I36*0.1</f>
        <v>1000</v>
      </c>
    </row>
    <row r="38" spans="1:9" hidden="1">
      <c r="A38" s="329"/>
      <c r="B38" s="330"/>
      <c r="C38" s="331"/>
      <c r="D38" s="331" t="s">
        <v>414</v>
      </c>
      <c r="E38" s="331"/>
      <c r="F38" s="332"/>
      <c r="G38" s="332"/>
      <c r="H38" s="332"/>
      <c r="I38" s="333">
        <f>ROUNDDOWN(I37+I36,0)</f>
        <v>11000</v>
      </c>
    </row>
    <row r="39" spans="1:9" ht="13.5" hidden="1" thickBot="1">
      <c r="A39" s="341"/>
      <c r="B39" s="342"/>
      <c r="C39" s="343"/>
      <c r="D39" s="343"/>
      <c r="E39" s="343"/>
      <c r="F39" s="344"/>
      <c r="G39" s="344"/>
      <c r="H39" s="344"/>
      <c r="I39" s="345"/>
    </row>
    <row r="40" spans="1:9" ht="14.25" hidden="1" thickTop="1" thickBot="1">
      <c r="A40" s="309" t="s">
        <v>0</v>
      </c>
      <c r="B40" s="310" t="s">
        <v>397</v>
      </c>
      <c r="C40" s="310" t="s">
        <v>398</v>
      </c>
      <c r="D40" s="310" t="s">
        <v>1</v>
      </c>
      <c r="E40" s="311"/>
      <c r="F40" s="312" t="s">
        <v>399</v>
      </c>
      <c r="G40" s="312" t="s">
        <v>400</v>
      </c>
      <c r="H40" s="312" t="s">
        <v>401</v>
      </c>
      <c r="I40" s="313" t="s">
        <v>402</v>
      </c>
    </row>
    <row r="41" spans="1:9" ht="13.5" hidden="1" thickTop="1">
      <c r="A41" s="346"/>
      <c r="B41" s="347"/>
      <c r="C41" s="348"/>
      <c r="D41" s="348"/>
      <c r="E41" s="348"/>
      <c r="F41" s="349"/>
      <c r="G41" s="349"/>
      <c r="H41" s="349"/>
      <c r="I41" s="350"/>
    </row>
    <row r="42" spans="1:9" hidden="1">
      <c r="A42" s="329">
        <v>3</v>
      </c>
      <c r="B42" s="330" t="s">
        <v>416</v>
      </c>
      <c r="C42" s="331"/>
      <c r="D42" s="331"/>
      <c r="E42" s="331"/>
      <c r="F42" s="332"/>
      <c r="G42" s="332"/>
      <c r="H42" s="332"/>
      <c r="I42" s="333"/>
    </row>
    <row r="43" spans="1:9" hidden="1">
      <c r="A43" s="334"/>
      <c r="B43" s="335">
        <v>0.02</v>
      </c>
      <c r="C43" s="336"/>
      <c r="D43" s="336" t="s">
        <v>3</v>
      </c>
      <c r="E43" s="336"/>
      <c r="F43" s="337">
        <f>[2]Hardas!$E$10</f>
        <v>100000</v>
      </c>
      <c r="G43" s="338">
        <f>F43*B43</f>
        <v>2000</v>
      </c>
      <c r="H43" s="338"/>
      <c r="I43" s="339"/>
    </row>
    <row r="44" spans="1:9" hidden="1">
      <c r="A44" s="334"/>
      <c r="B44" s="335">
        <v>0.02</v>
      </c>
      <c r="C44" s="336"/>
      <c r="D44" s="336" t="s">
        <v>4</v>
      </c>
      <c r="E44" s="336"/>
      <c r="F44" s="338">
        <f>[2]Hardas!$E$11</f>
        <v>91000</v>
      </c>
      <c r="G44" s="338">
        <f>F44*B44</f>
        <v>1820</v>
      </c>
      <c r="H44" s="338"/>
      <c r="I44" s="339"/>
    </row>
    <row r="45" spans="1:9" hidden="1">
      <c r="A45" s="334"/>
      <c r="B45" s="335">
        <v>0.2</v>
      </c>
      <c r="C45" s="336"/>
      <c r="D45" s="336" t="s">
        <v>5</v>
      </c>
      <c r="E45" s="336"/>
      <c r="F45" s="338">
        <f>[2]Hardas!$E$13</f>
        <v>82000</v>
      </c>
      <c r="G45" s="338">
        <f>F45*B45</f>
        <v>16400</v>
      </c>
      <c r="H45" s="338"/>
      <c r="I45" s="339"/>
    </row>
    <row r="46" spans="1:9" hidden="1">
      <c r="A46" s="334"/>
      <c r="B46" s="335">
        <v>0.4</v>
      </c>
      <c r="C46" s="336"/>
      <c r="D46" s="336" t="s">
        <v>6</v>
      </c>
      <c r="E46" s="336"/>
      <c r="F46" s="338">
        <f>[2]Hardas!$E$21</f>
        <v>59000</v>
      </c>
      <c r="G46" s="338">
        <f>F46*B46</f>
        <v>23600</v>
      </c>
      <c r="H46" s="338"/>
      <c r="I46" s="339"/>
    </row>
    <row r="47" spans="1:9" hidden="1">
      <c r="A47" s="329"/>
      <c r="B47" s="330"/>
      <c r="C47" s="331"/>
      <c r="D47" s="331"/>
      <c r="E47" s="331" t="s">
        <v>857</v>
      </c>
      <c r="F47" s="332"/>
      <c r="G47" s="332"/>
      <c r="H47" s="332"/>
      <c r="I47" s="333">
        <f>SUM(G43:G47)</f>
        <v>43820</v>
      </c>
    </row>
    <row r="48" spans="1:9" hidden="1">
      <c r="A48" s="334"/>
      <c r="B48" s="335"/>
      <c r="C48" s="336"/>
      <c r="D48" s="336"/>
      <c r="E48" s="336"/>
      <c r="F48" s="338"/>
      <c r="G48" s="338"/>
      <c r="H48" s="338"/>
      <c r="I48" s="339"/>
    </row>
    <row r="49" spans="1:9" hidden="1">
      <c r="A49" s="334"/>
      <c r="B49" s="335">
        <v>1.25</v>
      </c>
      <c r="C49" s="336" t="s">
        <v>417</v>
      </c>
      <c r="D49" s="336" t="s">
        <v>418</v>
      </c>
      <c r="E49" s="336"/>
      <c r="F49" s="338">
        <f>[2]Hardas!$E$54</f>
        <v>21820</v>
      </c>
      <c r="G49" s="338"/>
      <c r="H49" s="338">
        <f t="shared" ref="H49:H56" si="0">F49*B49</f>
        <v>27275</v>
      </c>
      <c r="I49" s="339"/>
    </row>
    <row r="50" spans="1:9" hidden="1">
      <c r="A50" s="334"/>
      <c r="B50" s="335">
        <v>2.5</v>
      </c>
      <c r="C50" s="336" t="s">
        <v>7</v>
      </c>
      <c r="D50" s="336" t="s">
        <v>419</v>
      </c>
      <c r="E50" s="336"/>
      <c r="F50" s="338">
        <f>[2]Hardas!$E$40</f>
        <v>1050</v>
      </c>
      <c r="G50" s="338"/>
      <c r="H50" s="338">
        <f t="shared" si="0"/>
        <v>2625</v>
      </c>
      <c r="I50" s="339"/>
    </row>
    <row r="51" spans="1:9" hidden="1">
      <c r="A51" s="334"/>
      <c r="B51" s="335">
        <v>1.2</v>
      </c>
      <c r="C51" s="336" t="s">
        <v>420</v>
      </c>
      <c r="D51" s="336" t="s">
        <v>421</v>
      </c>
      <c r="E51" s="336"/>
      <c r="F51" s="338">
        <f>[2]Hardas!$E$145</f>
        <v>50000</v>
      </c>
      <c r="G51" s="338"/>
      <c r="H51" s="338">
        <f t="shared" si="0"/>
        <v>60000</v>
      </c>
      <c r="I51" s="339"/>
    </row>
    <row r="52" spans="1:9" hidden="1">
      <c r="A52" s="334"/>
      <c r="B52" s="335">
        <v>5.0000000000000001E-3</v>
      </c>
      <c r="C52" s="336" t="s">
        <v>406</v>
      </c>
      <c r="D52" s="336" t="s">
        <v>422</v>
      </c>
      <c r="E52" s="336"/>
      <c r="F52" s="338">
        <f>[2]Hardas!$E$28</f>
        <v>115000</v>
      </c>
      <c r="G52" s="338"/>
      <c r="H52" s="338">
        <f t="shared" si="0"/>
        <v>575</v>
      </c>
      <c r="I52" s="339"/>
    </row>
    <row r="53" spans="1:9" hidden="1">
      <c r="A53" s="334"/>
      <c r="B53" s="335">
        <v>8.9999999999999993E-3</v>
      </c>
      <c r="C53" s="336" t="s">
        <v>406</v>
      </c>
      <c r="D53" s="336" t="s">
        <v>423</v>
      </c>
      <c r="E53" s="336"/>
      <c r="F53" s="338">
        <f>[2]Hardas!$E$30</f>
        <v>121500</v>
      </c>
      <c r="G53" s="338"/>
      <c r="H53" s="338">
        <f t="shared" si="0"/>
        <v>1093.5</v>
      </c>
      <c r="I53" s="339"/>
    </row>
    <row r="54" spans="1:9" hidden="1">
      <c r="A54" s="334"/>
      <c r="B54" s="335">
        <v>7.1999999999999995E-2</v>
      </c>
      <c r="C54" s="336" t="s">
        <v>406</v>
      </c>
      <c r="D54" s="336" t="s">
        <v>424</v>
      </c>
      <c r="E54" s="336"/>
      <c r="F54" s="338">
        <f>[2]Hardas!$E$50</f>
        <v>1800000</v>
      </c>
      <c r="G54" s="338"/>
      <c r="H54" s="338">
        <f t="shared" si="0"/>
        <v>129599.99999999999</v>
      </c>
      <c r="I54" s="339"/>
    </row>
    <row r="55" spans="1:9" hidden="1">
      <c r="A55" s="334"/>
      <c r="B55" s="335">
        <v>0.06</v>
      </c>
      <c r="C55" s="336" t="s">
        <v>7</v>
      </c>
      <c r="D55" s="336" t="s">
        <v>425</v>
      </c>
      <c r="E55" s="336"/>
      <c r="F55" s="338">
        <f>[2]Hardas!$E$60</f>
        <v>10500</v>
      </c>
      <c r="G55" s="338"/>
      <c r="H55" s="338">
        <f t="shared" si="0"/>
        <v>630</v>
      </c>
      <c r="I55" s="339"/>
    </row>
    <row r="56" spans="1:9" hidden="1">
      <c r="A56" s="334"/>
      <c r="B56" s="335">
        <v>0.45</v>
      </c>
      <c r="C56" s="336" t="s">
        <v>7</v>
      </c>
      <c r="D56" s="336" t="s">
        <v>426</v>
      </c>
      <c r="E56" s="336"/>
      <c r="F56" s="338">
        <f>[2]Hardas!$E$73</f>
        <v>13480</v>
      </c>
      <c r="G56" s="338"/>
      <c r="H56" s="338">
        <f t="shared" si="0"/>
        <v>6066</v>
      </c>
      <c r="I56" s="339"/>
    </row>
    <row r="57" spans="1:9" hidden="1">
      <c r="A57" s="329"/>
      <c r="B57" s="330"/>
      <c r="C57" s="331"/>
      <c r="D57" s="331"/>
      <c r="E57" s="331" t="s">
        <v>859</v>
      </c>
      <c r="F57" s="332"/>
      <c r="G57" s="332"/>
      <c r="H57" s="332"/>
      <c r="I57" s="333">
        <f>SUM(H49:H57)</f>
        <v>227864.5</v>
      </c>
    </row>
    <row r="58" spans="1:9" hidden="1">
      <c r="A58" s="334"/>
      <c r="B58" s="335"/>
      <c r="C58" s="336"/>
      <c r="D58" s="336"/>
      <c r="E58" s="336"/>
      <c r="F58" s="338"/>
      <c r="G58" s="338"/>
      <c r="H58" s="338"/>
      <c r="I58" s="339"/>
    </row>
    <row r="59" spans="1:9" hidden="1">
      <c r="A59" s="334"/>
      <c r="B59" s="335"/>
      <c r="C59" s="336"/>
      <c r="D59" s="336"/>
      <c r="E59" s="336"/>
      <c r="F59" s="338"/>
      <c r="G59" s="338"/>
      <c r="H59" s="338"/>
      <c r="I59" s="339"/>
    </row>
    <row r="60" spans="1:9" hidden="1">
      <c r="A60" s="329"/>
      <c r="B60" s="330"/>
      <c r="C60" s="331"/>
      <c r="D60" s="331"/>
      <c r="E60" s="331" t="s">
        <v>858</v>
      </c>
      <c r="F60" s="332"/>
      <c r="G60" s="332"/>
      <c r="H60" s="332"/>
      <c r="I60" s="333"/>
    </row>
    <row r="61" spans="1:9" hidden="1">
      <c r="A61" s="329"/>
      <c r="B61" s="330"/>
      <c r="C61" s="331"/>
      <c r="D61" s="331" t="s">
        <v>412</v>
      </c>
      <c r="E61" s="331"/>
      <c r="F61" s="332"/>
      <c r="G61" s="332"/>
      <c r="H61" s="332"/>
      <c r="I61" s="333">
        <f>SUM(I43:I60)</f>
        <v>271684.5</v>
      </c>
    </row>
    <row r="62" spans="1:9" hidden="1">
      <c r="A62" s="329"/>
      <c r="B62" s="330"/>
      <c r="C62" s="331"/>
      <c r="D62" s="331" t="s">
        <v>413</v>
      </c>
      <c r="E62" s="331"/>
      <c r="F62" s="332"/>
      <c r="G62" s="332"/>
      <c r="H62" s="332"/>
      <c r="I62" s="333">
        <f>I61*0.1</f>
        <v>27168.45</v>
      </c>
    </row>
    <row r="63" spans="1:9" hidden="1">
      <c r="A63" s="329"/>
      <c r="B63" s="330"/>
      <c r="C63" s="331"/>
      <c r="D63" s="331" t="s">
        <v>414</v>
      </c>
      <c r="E63" s="331"/>
      <c r="F63" s="332"/>
      <c r="G63" s="332"/>
      <c r="H63" s="332"/>
      <c r="I63" s="333">
        <f>ROUNDDOWN(I62+I61,0)</f>
        <v>298852</v>
      </c>
    </row>
    <row r="64" spans="1:9" ht="13.5" hidden="1" thickBot="1">
      <c r="A64" s="341"/>
      <c r="B64" s="342"/>
      <c r="C64" s="343"/>
      <c r="D64" s="343"/>
      <c r="E64" s="343"/>
      <c r="F64" s="344"/>
      <c r="G64" s="344"/>
      <c r="H64" s="344"/>
      <c r="I64" s="345"/>
    </row>
    <row r="65" spans="1:9" ht="14.25" hidden="1" thickTop="1" thickBot="1">
      <c r="A65" s="309" t="s">
        <v>0</v>
      </c>
      <c r="B65" s="310" t="s">
        <v>397</v>
      </c>
      <c r="C65" s="310" t="s">
        <v>398</v>
      </c>
      <c r="D65" s="310" t="s">
        <v>1</v>
      </c>
      <c r="E65" s="311"/>
      <c r="F65" s="312" t="s">
        <v>399</v>
      </c>
      <c r="G65" s="312" t="s">
        <v>400</v>
      </c>
      <c r="H65" s="312" t="s">
        <v>401</v>
      </c>
      <c r="I65" s="313" t="s">
        <v>402</v>
      </c>
    </row>
    <row r="66" spans="1:9" ht="13.5" hidden="1" thickTop="1">
      <c r="A66" s="351">
        <v>4</v>
      </c>
      <c r="B66" s="352" t="s">
        <v>427</v>
      </c>
      <c r="C66" s="353"/>
      <c r="D66" s="353"/>
      <c r="E66" s="353"/>
      <c r="F66" s="354"/>
      <c r="G66" s="354"/>
      <c r="H66" s="354"/>
      <c r="I66" s="355"/>
    </row>
    <row r="67" spans="1:9" hidden="1">
      <c r="A67" s="334"/>
      <c r="B67" s="335">
        <v>0.05</v>
      </c>
      <c r="C67" s="336"/>
      <c r="D67" s="336" t="s">
        <v>3</v>
      </c>
      <c r="E67" s="336"/>
      <c r="F67" s="337">
        <f>[2]Hardas!$E$10</f>
        <v>100000</v>
      </c>
      <c r="G67" s="338">
        <f>F67*B67</f>
        <v>5000</v>
      </c>
      <c r="H67" s="338"/>
      <c r="I67" s="339"/>
    </row>
    <row r="68" spans="1:9" hidden="1">
      <c r="A68" s="334"/>
      <c r="B68" s="335">
        <v>0.3</v>
      </c>
      <c r="C68" s="336"/>
      <c r="D68" s="336" t="s">
        <v>4</v>
      </c>
      <c r="E68" s="336"/>
      <c r="F68" s="338">
        <f>[2]Hardas!$E$11</f>
        <v>91000</v>
      </c>
      <c r="G68" s="338">
        <f>F68*B68</f>
        <v>27300</v>
      </c>
      <c r="H68" s="338"/>
      <c r="I68" s="339"/>
    </row>
    <row r="69" spans="1:9" hidden="1">
      <c r="A69" s="334"/>
      <c r="B69" s="335">
        <v>2</v>
      </c>
      <c r="C69" s="336"/>
      <c r="D69" s="336" t="s">
        <v>5</v>
      </c>
      <c r="E69" s="336"/>
      <c r="F69" s="338">
        <f>[2]Hardas!$E$13</f>
        <v>82000</v>
      </c>
      <c r="G69" s="338">
        <f>F69*B69</f>
        <v>164000</v>
      </c>
      <c r="H69" s="338"/>
      <c r="I69" s="339"/>
    </row>
    <row r="70" spans="1:9" hidden="1">
      <c r="A70" s="334"/>
      <c r="B70" s="335">
        <v>1</v>
      </c>
      <c r="C70" s="336"/>
      <c r="D70" s="336" t="s">
        <v>428</v>
      </c>
      <c r="E70" s="336"/>
      <c r="F70" s="338">
        <f>[2]Hardas!$E$14</f>
        <v>82000</v>
      </c>
      <c r="G70" s="338">
        <f>F70*B70</f>
        <v>82000</v>
      </c>
      <c r="H70" s="338"/>
      <c r="I70" s="339"/>
    </row>
    <row r="71" spans="1:9" hidden="1">
      <c r="A71" s="334"/>
      <c r="B71" s="335">
        <v>2</v>
      </c>
      <c r="C71" s="336"/>
      <c r="D71" s="336" t="s">
        <v>6</v>
      </c>
      <c r="E71" s="336"/>
      <c r="F71" s="338">
        <f>[2]Hardas!$E$21</f>
        <v>59000</v>
      </c>
      <c r="G71" s="338">
        <f>F71*B71</f>
        <v>118000</v>
      </c>
      <c r="H71" s="338"/>
      <c r="I71" s="339"/>
    </row>
    <row r="72" spans="1:9" hidden="1">
      <c r="A72" s="329"/>
      <c r="B72" s="330"/>
      <c r="C72" s="331"/>
      <c r="D72" s="331"/>
      <c r="E72" s="331" t="s">
        <v>405</v>
      </c>
      <c r="F72" s="332"/>
      <c r="G72" s="332"/>
      <c r="H72" s="332"/>
      <c r="I72" s="333">
        <f>SUM(G67:G72)</f>
        <v>396300</v>
      </c>
    </row>
    <row r="73" spans="1:9" hidden="1">
      <c r="A73" s="334"/>
      <c r="B73" s="335">
        <v>1.25</v>
      </c>
      <c r="C73" s="336" t="s">
        <v>417</v>
      </c>
      <c r="D73" s="336" t="s">
        <v>429</v>
      </c>
      <c r="E73" s="336"/>
      <c r="F73" s="338">
        <f>[2]Hardas!$E$54</f>
        <v>21820</v>
      </c>
      <c r="G73" s="338"/>
      <c r="H73" s="338">
        <f t="shared" ref="H73:H84" si="1">F73*B73</f>
        <v>27275</v>
      </c>
      <c r="I73" s="339"/>
    </row>
    <row r="74" spans="1:9" hidden="1">
      <c r="A74" s="334"/>
      <c r="B74" s="335">
        <v>0.18</v>
      </c>
      <c r="C74" s="336" t="s">
        <v>406</v>
      </c>
      <c r="D74" s="336" t="s">
        <v>430</v>
      </c>
      <c r="E74" s="336"/>
      <c r="F74" s="338">
        <f>[2]Hardas!E49</f>
        <v>1800000</v>
      </c>
      <c r="G74" s="338"/>
      <c r="H74" s="338">
        <f t="shared" si="1"/>
        <v>324000</v>
      </c>
      <c r="I74" s="339"/>
    </row>
    <row r="75" spans="1:9" hidden="1">
      <c r="A75" s="334"/>
      <c r="B75" s="335">
        <v>0.85</v>
      </c>
      <c r="C75" s="336" t="s">
        <v>7</v>
      </c>
      <c r="D75" s="336" t="s">
        <v>408</v>
      </c>
      <c r="E75" s="336"/>
      <c r="F75" s="338">
        <f>[2]Hardas!$E$60</f>
        <v>10500</v>
      </c>
      <c r="G75" s="338"/>
      <c r="H75" s="338">
        <f t="shared" si="1"/>
        <v>8925</v>
      </c>
      <c r="I75" s="339"/>
    </row>
    <row r="76" spans="1:9" hidden="1">
      <c r="A76" s="334"/>
      <c r="B76" s="335">
        <v>1.1000000000000001</v>
      </c>
      <c r="C76" s="336" t="s">
        <v>7</v>
      </c>
      <c r="D76" s="336" t="s">
        <v>431</v>
      </c>
      <c r="E76" s="336"/>
      <c r="F76" s="338">
        <f>[2]Hardas!$E$68</f>
        <v>9300</v>
      </c>
      <c r="G76" s="338"/>
      <c r="H76" s="338">
        <f t="shared" si="1"/>
        <v>10230</v>
      </c>
      <c r="I76" s="339"/>
    </row>
    <row r="77" spans="1:9" hidden="1">
      <c r="A77" s="334"/>
      <c r="B77" s="335">
        <v>35</v>
      </c>
      <c r="C77" s="336" t="s">
        <v>7</v>
      </c>
      <c r="D77" s="336" t="s">
        <v>419</v>
      </c>
      <c r="E77" s="336"/>
      <c r="F77" s="338">
        <f>[2]Hardas!$E$40</f>
        <v>1050</v>
      </c>
      <c r="G77" s="338"/>
      <c r="H77" s="338">
        <f t="shared" si="1"/>
        <v>36750</v>
      </c>
      <c r="I77" s="339"/>
    </row>
    <row r="78" spans="1:9" hidden="1">
      <c r="A78" s="334"/>
      <c r="B78" s="335">
        <v>0.25</v>
      </c>
      <c r="C78" s="336" t="s">
        <v>406</v>
      </c>
      <c r="D78" s="336" t="s">
        <v>432</v>
      </c>
      <c r="E78" s="336"/>
      <c r="F78" s="338">
        <f>[2]Hardas!$E$28</f>
        <v>115000</v>
      </c>
      <c r="G78" s="338"/>
      <c r="H78" s="338">
        <f t="shared" si="1"/>
        <v>28750</v>
      </c>
      <c r="I78" s="339"/>
    </row>
    <row r="79" spans="1:9" hidden="1">
      <c r="A79" s="334"/>
      <c r="B79" s="335">
        <v>0.15</v>
      </c>
      <c r="C79" s="336" t="s">
        <v>406</v>
      </c>
      <c r="D79" s="336" t="s">
        <v>423</v>
      </c>
      <c r="E79" s="336"/>
      <c r="F79" s="338">
        <f>[2]Hardas!$E$30</f>
        <v>121500</v>
      </c>
      <c r="G79" s="338"/>
      <c r="H79" s="338">
        <f t="shared" si="1"/>
        <v>18225</v>
      </c>
      <c r="I79" s="339"/>
    </row>
    <row r="80" spans="1:9" hidden="1">
      <c r="A80" s="334"/>
      <c r="B80" s="335">
        <v>3</v>
      </c>
      <c r="C80" s="336" t="s">
        <v>433</v>
      </c>
      <c r="D80" s="336" t="s">
        <v>434</v>
      </c>
      <c r="E80" s="336"/>
      <c r="F80" s="338">
        <f>[2]Hardas!$E$57</f>
        <v>610</v>
      </c>
      <c r="G80" s="338"/>
      <c r="H80" s="338">
        <f t="shared" si="1"/>
        <v>1830</v>
      </c>
      <c r="I80" s="339"/>
    </row>
    <row r="81" spans="1:9" hidden="1">
      <c r="A81" s="334"/>
      <c r="B81" s="335">
        <v>1.5</v>
      </c>
      <c r="C81" s="336" t="s">
        <v>420</v>
      </c>
      <c r="D81" s="336" t="s">
        <v>421</v>
      </c>
      <c r="E81" s="336"/>
      <c r="F81" s="338">
        <f>[2]Hardas!$E$145</f>
        <v>50000</v>
      </c>
      <c r="G81" s="338"/>
      <c r="H81" s="338">
        <f t="shared" si="1"/>
        <v>75000</v>
      </c>
      <c r="I81" s="339"/>
    </row>
    <row r="82" spans="1:9" hidden="1">
      <c r="A82" s="334"/>
      <c r="B82" s="335">
        <v>2</v>
      </c>
      <c r="C82" s="336" t="s">
        <v>433</v>
      </c>
      <c r="D82" s="336" t="s">
        <v>435</v>
      </c>
      <c r="E82" s="336"/>
      <c r="F82" s="338">
        <f>[2]Hardas!$E$157</f>
        <v>79450</v>
      </c>
      <c r="G82" s="338"/>
      <c r="H82" s="338">
        <f t="shared" si="1"/>
        <v>158900</v>
      </c>
      <c r="I82" s="339"/>
    </row>
    <row r="83" spans="1:9" hidden="1">
      <c r="A83" s="334"/>
      <c r="B83" s="335">
        <v>0.15</v>
      </c>
      <c r="C83" s="336" t="s">
        <v>433</v>
      </c>
      <c r="D83" s="336" t="s">
        <v>436</v>
      </c>
      <c r="E83" s="336"/>
      <c r="F83" s="338">
        <f>[2]Hardas!$E$195</f>
        <v>150000</v>
      </c>
      <c r="G83" s="338"/>
      <c r="H83" s="338">
        <f t="shared" si="1"/>
        <v>22500</v>
      </c>
      <c r="I83" s="339"/>
    </row>
    <row r="84" spans="1:9" hidden="1">
      <c r="A84" s="334"/>
      <c r="B84" s="335">
        <v>0.06</v>
      </c>
      <c r="C84" s="336" t="s">
        <v>437</v>
      </c>
      <c r="D84" s="336" t="s">
        <v>438</v>
      </c>
      <c r="E84" s="336"/>
      <c r="F84" s="338">
        <f>[2]Hardas!$E$113</f>
        <v>69320</v>
      </c>
      <c r="G84" s="338"/>
      <c r="H84" s="338">
        <f t="shared" si="1"/>
        <v>4159.2</v>
      </c>
      <c r="I84" s="339"/>
    </row>
    <row r="85" spans="1:9" hidden="1">
      <c r="A85" s="340"/>
      <c r="B85" s="330"/>
      <c r="C85" s="331"/>
      <c r="D85" s="331"/>
      <c r="E85" s="331" t="s">
        <v>410</v>
      </c>
      <c r="F85" s="332"/>
      <c r="G85" s="332"/>
      <c r="H85" s="332"/>
      <c r="I85" s="333">
        <f>SUM(H73:H85)</f>
        <v>716544.2</v>
      </c>
    </row>
    <row r="86" spans="1:9" hidden="1">
      <c r="A86" s="334"/>
      <c r="B86" s="335"/>
      <c r="C86" s="336"/>
      <c r="D86" s="336"/>
      <c r="E86" s="336"/>
      <c r="F86" s="338"/>
      <c r="G86" s="338"/>
      <c r="H86" s="338"/>
      <c r="I86" s="339"/>
    </row>
    <row r="87" spans="1:9" hidden="1">
      <c r="A87" s="334"/>
      <c r="B87" s="335"/>
      <c r="C87" s="336"/>
      <c r="D87" s="336"/>
      <c r="E87" s="336"/>
      <c r="F87" s="338"/>
      <c r="G87" s="338"/>
      <c r="H87" s="338"/>
      <c r="I87" s="339"/>
    </row>
    <row r="88" spans="1:9" hidden="1">
      <c r="A88" s="340"/>
      <c r="B88" s="330"/>
      <c r="C88" s="331"/>
      <c r="D88" s="331"/>
      <c r="E88" s="331" t="s">
        <v>411</v>
      </c>
      <c r="F88" s="332"/>
      <c r="G88" s="332"/>
      <c r="H88" s="332"/>
      <c r="I88" s="333"/>
    </row>
    <row r="89" spans="1:9" hidden="1">
      <c r="A89" s="340"/>
      <c r="B89" s="330"/>
      <c r="C89" s="331"/>
      <c r="D89" s="331" t="s">
        <v>412</v>
      </c>
      <c r="E89" s="331"/>
      <c r="F89" s="332"/>
      <c r="G89" s="332"/>
      <c r="H89" s="332"/>
      <c r="I89" s="333">
        <f>SUM(I67:I88)</f>
        <v>1112844.2</v>
      </c>
    </row>
    <row r="90" spans="1:9" hidden="1">
      <c r="A90" s="340"/>
      <c r="B90" s="330"/>
      <c r="C90" s="331"/>
      <c r="D90" s="331" t="s">
        <v>413</v>
      </c>
      <c r="E90" s="331"/>
      <c r="F90" s="332"/>
      <c r="G90" s="332"/>
      <c r="H90" s="332"/>
      <c r="I90" s="333">
        <f>I89*0.1</f>
        <v>111284.42</v>
      </c>
    </row>
    <row r="91" spans="1:9" hidden="1">
      <c r="A91" s="340"/>
      <c r="B91" s="330"/>
      <c r="C91" s="331"/>
      <c r="D91" s="331" t="s">
        <v>414</v>
      </c>
      <c r="E91" s="331"/>
      <c r="F91" s="332"/>
      <c r="G91" s="332"/>
      <c r="H91" s="332"/>
      <c r="I91" s="333">
        <f>ROUNDDOWN(I90+I89,0)</f>
        <v>1224128</v>
      </c>
    </row>
    <row r="92" spans="1:9" ht="13.5" hidden="1" thickBot="1">
      <c r="A92" s="341"/>
      <c r="B92" s="342"/>
      <c r="C92" s="343"/>
      <c r="D92" s="343"/>
      <c r="E92" s="343"/>
      <c r="F92" s="344"/>
      <c r="G92" s="344"/>
      <c r="H92" s="344"/>
      <c r="I92" s="345"/>
    </row>
    <row r="93" spans="1:9" ht="14.25" hidden="1" thickTop="1" thickBot="1">
      <c r="A93" s="319" t="s">
        <v>8</v>
      </c>
      <c r="B93" s="320" t="s">
        <v>439</v>
      </c>
      <c r="C93" s="321"/>
      <c r="D93" s="321"/>
      <c r="E93" s="321"/>
      <c r="F93" s="322"/>
      <c r="G93" s="322"/>
      <c r="H93" s="322"/>
      <c r="I93" s="323"/>
    </row>
    <row r="94" spans="1:9" ht="14.25" hidden="1" thickTop="1" thickBot="1">
      <c r="A94" s="309" t="s">
        <v>0</v>
      </c>
      <c r="B94" s="310" t="s">
        <v>397</v>
      </c>
      <c r="C94" s="310" t="s">
        <v>398</v>
      </c>
      <c r="D94" s="310" t="s">
        <v>1</v>
      </c>
      <c r="E94" s="311"/>
      <c r="F94" s="312" t="s">
        <v>399</v>
      </c>
      <c r="G94" s="312" t="s">
        <v>400</v>
      </c>
      <c r="H94" s="312" t="s">
        <v>401</v>
      </c>
      <c r="I94" s="313" t="s">
        <v>402</v>
      </c>
    </row>
    <row r="95" spans="1:9" ht="13.5" hidden="1" thickTop="1">
      <c r="A95" s="351">
        <v>5</v>
      </c>
      <c r="B95" s="352" t="s">
        <v>440</v>
      </c>
      <c r="C95" s="353"/>
      <c r="D95" s="353"/>
      <c r="E95" s="353"/>
      <c r="F95" s="354"/>
      <c r="G95" s="354"/>
      <c r="H95" s="354"/>
      <c r="I95" s="355"/>
    </row>
    <row r="96" spans="1:9" hidden="1">
      <c r="A96" s="334"/>
      <c r="B96" s="335">
        <v>2.5000000000000001E-2</v>
      </c>
      <c r="C96" s="336"/>
      <c r="D96" s="336" t="s">
        <v>3</v>
      </c>
      <c r="E96" s="336"/>
      <c r="F96" s="337">
        <f>[2]Hardas!$E$10</f>
        <v>100000</v>
      </c>
      <c r="G96" s="338">
        <f>F96*B96</f>
        <v>2500</v>
      </c>
      <c r="H96" s="338"/>
      <c r="I96" s="339"/>
    </row>
    <row r="97" spans="1:9" hidden="1">
      <c r="A97" s="334"/>
      <c r="B97" s="335">
        <v>0.75</v>
      </c>
      <c r="C97" s="336"/>
      <c r="D97" s="336" t="s">
        <v>6</v>
      </c>
      <c r="E97" s="336"/>
      <c r="F97" s="338">
        <f>[2]Hardas!$E$22</f>
        <v>50000</v>
      </c>
      <c r="G97" s="338">
        <f>F97*B97</f>
        <v>37500</v>
      </c>
      <c r="H97" s="338"/>
      <c r="I97" s="339"/>
    </row>
    <row r="98" spans="1:9" hidden="1">
      <c r="A98" s="340"/>
      <c r="B98" s="330"/>
      <c r="C98" s="331"/>
      <c r="D98" s="331"/>
      <c r="E98" s="331" t="s">
        <v>405</v>
      </c>
      <c r="F98" s="332"/>
      <c r="G98" s="332"/>
      <c r="H98" s="332"/>
      <c r="I98" s="333">
        <f>SUM(G96:G98)</f>
        <v>40000</v>
      </c>
    </row>
    <row r="99" spans="1:9" hidden="1">
      <c r="A99" s="340"/>
      <c r="B99" s="335"/>
      <c r="C99" s="336"/>
      <c r="D99" s="336"/>
      <c r="E99" s="336"/>
      <c r="F99" s="338"/>
      <c r="G99" s="338"/>
      <c r="H99" s="338"/>
      <c r="I99" s="339"/>
    </row>
    <row r="100" spans="1:9" hidden="1">
      <c r="A100" s="340"/>
      <c r="B100" s="335"/>
      <c r="C100" s="336"/>
      <c r="D100" s="336"/>
      <c r="E100" s="336"/>
      <c r="F100" s="338"/>
      <c r="G100" s="338"/>
      <c r="H100" s="338"/>
      <c r="I100" s="339"/>
    </row>
    <row r="101" spans="1:9" hidden="1">
      <c r="A101" s="340"/>
      <c r="B101" s="335"/>
      <c r="C101" s="336"/>
      <c r="D101" s="336"/>
      <c r="E101" s="336"/>
      <c r="F101" s="338"/>
      <c r="G101" s="338"/>
      <c r="H101" s="338"/>
      <c r="I101" s="339"/>
    </row>
    <row r="102" spans="1:9" hidden="1">
      <c r="A102" s="340"/>
      <c r="B102" s="330"/>
      <c r="C102" s="331"/>
      <c r="D102" s="331"/>
      <c r="E102" s="331" t="s">
        <v>411</v>
      </c>
      <c r="F102" s="332"/>
      <c r="G102" s="332"/>
      <c r="H102" s="332"/>
      <c r="I102" s="333"/>
    </row>
    <row r="103" spans="1:9" hidden="1">
      <c r="A103" s="340"/>
      <c r="B103" s="330"/>
      <c r="C103" s="331"/>
      <c r="D103" s="331" t="s">
        <v>412</v>
      </c>
      <c r="E103" s="331"/>
      <c r="F103" s="332"/>
      <c r="G103" s="332"/>
      <c r="H103" s="332"/>
      <c r="I103" s="333">
        <f>SUM(I96:I102)</f>
        <v>40000</v>
      </c>
    </row>
    <row r="104" spans="1:9" hidden="1">
      <c r="A104" s="340"/>
      <c r="B104" s="330"/>
      <c r="C104" s="331"/>
      <c r="D104" s="331" t="s">
        <v>413</v>
      </c>
      <c r="E104" s="331"/>
      <c r="F104" s="332"/>
      <c r="G104" s="332"/>
      <c r="H104" s="332"/>
      <c r="I104" s="333">
        <f>I103*0.1</f>
        <v>4000</v>
      </c>
    </row>
    <row r="105" spans="1:9" hidden="1">
      <c r="A105" s="340"/>
      <c r="B105" s="356"/>
      <c r="C105" s="357"/>
      <c r="D105" s="331" t="s">
        <v>414</v>
      </c>
      <c r="E105" s="357"/>
      <c r="F105" s="358"/>
      <c r="G105" s="358"/>
      <c r="H105" s="358"/>
      <c r="I105" s="333">
        <f>ROUNDDOWN(I104+I103,0)</f>
        <v>44000</v>
      </c>
    </row>
    <row r="106" spans="1:9" ht="13.5" hidden="1" thickBot="1">
      <c r="A106" s="359"/>
      <c r="B106" s="325"/>
      <c r="C106" s="326"/>
      <c r="D106" s="326"/>
      <c r="E106" s="326"/>
      <c r="F106" s="327"/>
      <c r="G106" s="327"/>
      <c r="H106" s="327"/>
      <c r="I106" s="328"/>
    </row>
    <row r="107" spans="1:9" ht="14.25" hidden="1" thickTop="1" thickBot="1">
      <c r="A107" s="309" t="s">
        <v>0</v>
      </c>
      <c r="B107" s="310" t="s">
        <v>397</v>
      </c>
      <c r="C107" s="310" t="s">
        <v>398</v>
      </c>
      <c r="D107" s="310" t="s">
        <v>1</v>
      </c>
      <c r="E107" s="311"/>
      <c r="F107" s="312" t="s">
        <v>399</v>
      </c>
      <c r="G107" s="312" t="s">
        <v>400</v>
      </c>
      <c r="H107" s="312" t="s">
        <v>401</v>
      </c>
      <c r="I107" s="313" t="s">
        <v>402</v>
      </c>
    </row>
    <row r="108" spans="1:9" ht="13.5" hidden="1" thickTop="1">
      <c r="A108" s="351">
        <v>6</v>
      </c>
      <c r="B108" s="352" t="s">
        <v>441</v>
      </c>
      <c r="C108" s="353"/>
      <c r="D108" s="353"/>
      <c r="E108" s="353"/>
      <c r="F108" s="354"/>
      <c r="G108" s="354"/>
      <c r="H108" s="354"/>
      <c r="I108" s="355"/>
    </row>
    <row r="109" spans="1:9" hidden="1">
      <c r="A109" s="334"/>
      <c r="B109" s="335">
        <v>0.05</v>
      </c>
      <c r="C109" s="336"/>
      <c r="D109" s="336" t="s">
        <v>3</v>
      </c>
      <c r="E109" s="336"/>
      <c r="F109" s="337">
        <f>[2]Hardas!$E$10</f>
        <v>100000</v>
      </c>
      <c r="G109" s="338">
        <f>F109*B109</f>
        <v>5000</v>
      </c>
      <c r="H109" s="338"/>
      <c r="I109" s="339"/>
    </row>
    <row r="110" spans="1:9" hidden="1">
      <c r="A110" s="334"/>
      <c r="B110" s="335">
        <v>0.5</v>
      </c>
      <c r="C110" s="336"/>
      <c r="D110" s="336" t="s">
        <v>6</v>
      </c>
      <c r="E110" s="336"/>
      <c r="F110" s="338">
        <f>[2]Hardas!$E$22</f>
        <v>50000</v>
      </c>
      <c r="G110" s="338">
        <f>F110*B110</f>
        <v>25000</v>
      </c>
      <c r="H110" s="338"/>
      <c r="I110" s="339"/>
    </row>
    <row r="111" spans="1:9" hidden="1">
      <c r="A111" s="340"/>
      <c r="B111" s="330"/>
      <c r="C111" s="331"/>
      <c r="D111" s="331"/>
      <c r="E111" s="331" t="s">
        <v>405</v>
      </c>
      <c r="F111" s="332"/>
      <c r="G111" s="332"/>
      <c r="H111" s="332"/>
      <c r="I111" s="333">
        <f>SUM(G109:G111)</f>
        <v>30000</v>
      </c>
    </row>
    <row r="112" spans="1:9" hidden="1">
      <c r="A112" s="340"/>
      <c r="B112" s="335"/>
      <c r="C112" s="336"/>
      <c r="D112" s="336"/>
      <c r="E112" s="336"/>
      <c r="F112" s="338"/>
      <c r="G112" s="338"/>
      <c r="H112" s="338"/>
      <c r="I112" s="339"/>
    </row>
    <row r="113" spans="1:9" hidden="1">
      <c r="A113" s="340"/>
      <c r="B113" s="335"/>
      <c r="C113" s="336"/>
      <c r="D113" s="336"/>
      <c r="E113" s="336"/>
      <c r="F113" s="338"/>
      <c r="G113" s="338"/>
      <c r="H113" s="338"/>
      <c r="I113" s="339"/>
    </row>
    <row r="114" spans="1:9" hidden="1">
      <c r="A114" s="340"/>
      <c r="B114" s="335"/>
      <c r="C114" s="336"/>
      <c r="D114" s="336"/>
      <c r="E114" s="336"/>
      <c r="F114" s="338"/>
      <c r="G114" s="338"/>
      <c r="H114" s="338"/>
      <c r="I114" s="339"/>
    </row>
    <row r="115" spans="1:9" hidden="1">
      <c r="A115" s="340"/>
      <c r="B115" s="330"/>
      <c r="C115" s="331"/>
      <c r="D115" s="331"/>
      <c r="E115" s="331" t="s">
        <v>411</v>
      </c>
      <c r="F115" s="332"/>
      <c r="G115" s="332"/>
      <c r="H115" s="332"/>
      <c r="I115" s="333"/>
    </row>
    <row r="116" spans="1:9" hidden="1">
      <c r="A116" s="340"/>
      <c r="B116" s="330"/>
      <c r="C116" s="331"/>
      <c r="D116" s="331" t="s">
        <v>412</v>
      </c>
      <c r="E116" s="331"/>
      <c r="F116" s="332"/>
      <c r="G116" s="332"/>
      <c r="H116" s="332"/>
      <c r="I116" s="333">
        <f>SUM(I109:I115)</f>
        <v>30000</v>
      </c>
    </row>
    <row r="117" spans="1:9" hidden="1">
      <c r="A117" s="340"/>
      <c r="B117" s="330"/>
      <c r="C117" s="331"/>
      <c r="D117" s="331" t="s">
        <v>413</v>
      </c>
      <c r="E117" s="331"/>
      <c r="F117" s="332"/>
      <c r="G117" s="332"/>
      <c r="H117" s="332"/>
      <c r="I117" s="333">
        <f>I116*0.1</f>
        <v>3000</v>
      </c>
    </row>
    <row r="118" spans="1:9" hidden="1">
      <c r="A118" s="360"/>
      <c r="B118" s="361"/>
      <c r="C118" s="362"/>
      <c r="D118" s="363" t="s">
        <v>414</v>
      </c>
      <c r="E118" s="362"/>
      <c r="F118" s="364"/>
      <c r="G118" s="364"/>
      <c r="H118" s="364"/>
      <c r="I118" s="365">
        <f>ROUNDDOWN(I117+I116,0)</f>
        <v>33000</v>
      </c>
    </row>
    <row r="119" spans="1:9" ht="13.5" hidden="1" thickBot="1">
      <c r="A119" s="366"/>
      <c r="B119" s="367"/>
      <c r="C119" s="368"/>
      <c r="D119" s="369"/>
      <c r="E119" s="368"/>
      <c r="F119" s="370"/>
      <c r="G119" s="370"/>
      <c r="H119" s="370"/>
      <c r="I119" s="371"/>
    </row>
    <row r="120" spans="1:9" ht="14.25" hidden="1" thickTop="1" thickBot="1">
      <c r="A120" s="309" t="s">
        <v>0</v>
      </c>
      <c r="B120" s="310" t="s">
        <v>397</v>
      </c>
      <c r="C120" s="310" t="s">
        <v>398</v>
      </c>
      <c r="D120" s="310" t="s">
        <v>1</v>
      </c>
      <c r="E120" s="311"/>
      <c r="F120" s="312" t="s">
        <v>399</v>
      </c>
      <c r="G120" s="312" t="s">
        <v>400</v>
      </c>
      <c r="H120" s="312" t="s">
        <v>401</v>
      </c>
      <c r="I120" s="313" t="s">
        <v>402</v>
      </c>
    </row>
    <row r="121" spans="1:9" ht="13.5" hidden="1" thickTop="1">
      <c r="A121" s="351">
        <v>7</v>
      </c>
      <c r="B121" s="352" t="s">
        <v>442</v>
      </c>
      <c r="C121" s="353"/>
      <c r="D121" s="353"/>
      <c r="E121" s="353"/>
      <c r="F121" s="354"/>
      <c r="G121" s="354"/>
      <c r="H121" s="354"/>
      <c r="I121" s="355"/>
    </row>
    <row r="122" spans="1:9" hidden="1">
      <c r="A122" s="334"/>
      <c r="B122" s="335">
        <v>0.01</v>
      </c>
      <c r="C122" s="336"/>
      <c r="D122" s="336" t="s">
        <v>3</v>
      </c>
      <c r="E122" s="336"/>
      <c r="F122" s="337">
        <f>[2]Hardas!$E$10</f>
        <v>100000</v>
      </c>
      <c r="G122" s="338">
        <f>F122*B122</f>
        <v>1000</v>
      </c>
      <c r="H122" s="338"/>
      <c r="I122" s="339"/>
    </row>
    <row r="123" spans="1:9" hidden="1">
      <c r="A123" s="334"/>
      <c r="B123" s="335">
        <v>0.3</v>
      </c>
      <c r="C123" s="336"/>
      <c r="D123" s="336" t="s">
        <v>6</v>
      </c>
      <c r="E123" s="336"/>
      <c r="F123" s="338">
        <f>[2]Hardas!$E$22</f>
        <v>50000</v>
      </c>
      <c r="G123" s="338">
        <f>F123*B123</f>
        <v>15000</v>
      </c>
      <c r="H123" s="338"/>
      <c r="I123" s="339"/>
    </row>
    <row r="124" spans="1:9" hidden="1">
      <c r="A124" s="340"/>
      <c r="B124" s="330"/>
      <c r="C124" s="331"/>
      <c r="D124" s="331"/>
      <c r="E124" s="331" t="s">
        <v>405</v>
      </c>
      <c r="F124" s="332"/>
      <c r="G124" s="332"/>
      <c r="H124" s="332"/>
      <c r="I124" s="333">
        <f>SUM(G122:G124)</f>
        <v>16000</v>
      </c>
    </row>
    <row r="125" spans="1:9" hidden="1">
      <c r="A125" s="334"/>
      <c r="B125" s="335"/>
      <c r="C125" s="336"/>
      <c r="D125" s="336"/>
      <c r="E125" s="336"/>
      <c r="F125" s="338"/>
      <c r="G125" s="338"/>
      <c r="H125" s="338"/>
      <c r="I125" s="339"/>
    </row>
    <row r="126" spans="1:9" hidden="1">
      <c r="A126" s="334"/>
      <c r="B126" s="335">
        <v>1.2</v>
      </c>
      <c r="C126" s="336" t="s">
        <v>406</v>
      </c>
      <c r="D126" s="336" t="s">
        <v>443</v>
      </c>
      <c r="E126" s="336"/>
      <c r="F126" s="338">
        <f>[2]Hardas!$E$32</f>
        <v>101360</v>
      </c>
      <c r="G126" s="338"/>
      <c r="H126" s="338">
        <f>F126*B126</f>
        <v>121632</v>
      </c>
      <c r="I126" s="339"/>
    </row>
    <row r="127" spans="1:9" hidden="1">
      <c r="A127" s="334"/>
      <c r="B127" s="335"/>
      <c r="C127" s="336"/>
      <c r="D127" s="336"/>
      <c r="E127" s="336"/>
      <c r="F127" s="338"/>
      <c r="G127" s="338"/>
      <c r="H127" s="338"/>
      <c r="I127" s="339"/>
    </row>
    <row r="128" spans="1:9" hidden="1">
      <c r="A128" s="340"/>
      <c r="B128" s="330"/>
      <c r="C128" s="331"/>
      <c r="D128" s="331"/>
      <c r="E128" s="331" t="s">
        <v>410</v>
      </c>
      <c r="F128" s="332"/>
      <c r="G128" s="332"/>
      <c r="H128" s="332"/>
      <c r="I128" s="333">
        <f>SUM(H126:H128)</f>
        <v>121632</v>
      </c>
    </row>
    <row r="129" spans="1:9" hidden="1">
      <c r="A129" s="334"/>
      <c r="B129" s="335"/>
      <c r="C129" s="336"/>
      <c r="D129" s="336"/>
      <c r="E129" s="336"/>
      <c r="F129" s="338"/>
      <c r="G129" s="338"/>
      <c r="H129" s="338"/>
      <c r="I129" s="339"/>
    </row>
    <row r="130" spans="1:9" hidden="1">
      <c r="A130" s="334"/>
      <c r="B130" s="335"/>
      <c r="C130" s="336"/>
      <c r="D130" s="336"/>
      <c r="E130" s="336"/>
      <c r="F130" s="338"/>
      <c r="G130" s="338"/>
      <c r="H130" s="338"/>
      <c r="I130" s="339"/>
    </row>
    <row r="131" spans="1:9" hidden="1">
      <c r="A131" s="334"/>
      <c r="B131" s="335"/>
      <c r="C131" s="336"/>
      <c r="D131" s="336"/>
      <c r="E131" s="336"/>
      <c r="F131" s="338"/>
      <c r="G131" s="338"/>
      <c r="H131" s="338"/>
      <c r="I131" s="339"/>
    </row>
    <row r="132" spans="1:9" hidden="1">
      <c r="A132" s="329"/>
      <c r="B132" s="330"/>
      <c r="C132" s="331"/>
      <c r="D132" s="331"/>
      <c r="E132" s="331" t="s">
        <v>411</v>
      </c>
      <c r="F132" s="332"/>
      <c r="G132" s="332"/>
      <c r="H132" s="332"/>
      <c r="I132" s="333"/>
    </row>
    <row r="133" spans="1:9" hidden="1">
      <c r="A133" s="340"/>
      <c r="B133" s="330"/>
      <c r="C133" s="331"/>
      <c r="D133" s="331" t="s">
        <v>412</v>
      </c>
      <c r="E133" s="331"/>
      <c r="F133" s="332"/>
      <c r="G133" s="332"/>
      <c r="H133" s="332"/>
      <c r="I133" s="333">
        <f>SUM(I122:I132)</f>
        <v>137632</v>
      </c>
    </row>
    <row r="134" spans="1:9" hidden="1">
      <c r="A134" s="340"/>
      <c r="B134" s="330"/>
      <c r="C134" s="331"/>
      <c r="D134" s="331" t="s">
        <v>413</v>
      </c>
      <c r="E134" s="331"/>
      <c r="F134" s="332"/>
      <c r="G134" s="332"/>
      <c r="H134" s="332"/>
      <c r="I134" s="333">
        <f>I133*0.1</f>
        <v>13763.2</v>
      </c>
    </row>
    <row r="135" spans="1:9" hidden="1">
      <c r="A135" s="360"/>
      <c r="B135" s="361"/>
      <c r="C135" s="362"/>
      <c r="D135" s="363" t="s">
        <v>414</v>
      </c>
      <c r="E135" s="363"/>
      <c r="F135" s="372"/>
      <c r="G135" s="372"/>
      <c r="H135" s="372"/>
      <c r="I135" s="365">
        <f>ROUNDDOWN(I134+I133,0)</f>
        <v>151395</v>
      </c>
    </row>
    <row r="136" spans="1:9" ht="13.5" hidden="1" thickBot="1">
      <c r="A136" s="366"/>
      <c r="B136" s="367"/>
      <c r="C136" s="368"/>
      <c r="D136" s="369"/>
      <c r="E136" s="369"/>
      <c r="F136" s="373"/>
      <c r="G136" s="373"/>
      <c r="H136" s="373"/>
      <c r="I136" s="371"/>
    </row>
    <row r="137" spans="1:9" ht="14.25" hidden="1" thickTop="1" thickBot="1">
      <c r="A137" s="309" t="s">
        <v>0</v>
      </c>
      <c r="B137" s="310" t="s">
        <v>397</v>
      </c>
      <c r="C137" s="310" t="s">
        <v>398</v>
      </c>
      <c r="D137" s="310" t="s">
        <v>1</v>
      </c>
      <c r="E137" s="311"/>
      <c r="F137" s="312" t="s">
        <v>399</v>
      </c>
      <c r="G137" s="312" t="s">
        <v>400</v>
      </c>
      <c r="H137" s="312" t="s">
        <v>401</v>
      </c>
      <c r="I137" s="313" t="s">
        <v>402</v>
      </c>
    </row>
    <row r="138" spans="1:9" ht="13.5" hidden="1" thickTop="1">
      <c r="A138" s="351">
        <v>8</v>
      </c>
      <c r="B138" s="352" t="s">
        <v>444</v>
      </c>
      <c r="C138" s="353"/>
      <c r="D138" s="353"/>
      <c r="E138" s="353"/>
      <c r="F138" s="354"/>
      <c r="G138" s="354"/>
      <c r="H138" s="354"/>
      <c r="I138" s="355"/>
    </row>
    <row r="139" spans="1:9" hidden="1">
      <c r="A139" s="334"/>
      <c r="B139" s="335">
        <v>0.06</v>
      </c>
      <c r="C139" s="336"/>
      <c r="D139" s="336" t="s">
        <v>3</v>
      </c>
      <c r="E139" s="336"/>
      <c r="F139" s="337">
        <f>[2]Hardas!$E$10</f>
        <v>100000</v>
      </c>
      <c r="G139" s="338">
        <f>F139*B139</f>
        <v>6000</v>
      </c>
      <c r="H139" s="338"/>
      <c r="I139" s="339"/>
    </row>
    <row r="140" spans="1:9" hidden="1">
      <c r="A140" s="334"/>
      <c r="B140" s="335">
        <v>0.02</v>
      </c>
      <c r="C140" s="336"/>
      <c r="D140" s="336" t="s">
        <v>4</v>
      </c>
      <c r="E140" s="336"/>
      <c r="F140" s="338">
        <f>[2]Hardas!$E$11</f>
        <v>91000</v>
      </c>
      <c r="G140" s="338">
        <f>F140*B140</f>
        <v>1820</v>
      </c>
      <c r="H140" s="338"/>
      <c r="I140" s="339"/>
    </row>
    <row r="141" spans="1:9" hidden="1">
      <c r="A141" s="334"/>
      <c r="B141" s="335">
        <v>0.2</v>
      </c>
      <c r="C141" s="336"/>
      <c r="D141" s="336" t="s">
        <v>428</v>
      </c>
      <c r="E141" s="336"/>
      <c r="F141" s="338">
        <f>[2]Hardas!$E$14</f>
        <v>82000</v>
      </c>
      <c r="G141" s="338">
        <f>F141*B141</f>
        <v>16400</v>
      </c>
      <c r="H141" s="338"/>
      <c r="I141" s="339"/>
    </row>
    <row r="142" spans="1:9" hidden="1">
      <c r="A142" s="334"/>
      <c r="B142" s="335">
        <v>1.2</v>
      </c>
      <c r="C142" s="336"/>
      <c r="D142" s="336" t="s">
        <v>6</v>
      </c>
      <c r="E142" s="336"/>
      <c r="F142" s="338">
        <f>[2]Hardas!$E$21</f>
        <v>59000</v>
      </c>
      <c r="G142" s="338">
        <f>F142*B142</f>
        <v>70800</v>
      </c>
      <c r="H142" s="338"/>
      <c r="I142" s="339"/>
    </row>
    <row r="143" spans="1:9" hidden="1">
      <c r="A143" s="340"/>
      <c r="B143" s="330"/>
      <c r="C143" s="331"/>
      <c r="D143" s="331"/>
      <c r="E143" s="331" t="s">
        <v>405</v>
      </c>
      <c r="F143" s="332"/>
      <c r="G143" s="332"/>
      <c r="H143" s="332"/>
      <c r="I143" s="333">
        <f>SUM(G139:G143)</f>
        <v>95020</v>
      </c>
    </row>
    <row r="144" spans="1:9" hidden="1">
      <c r="A144" s="334"/>
      <c r="B144" s="335"/>
      <c r="C144" s="336"/>
      <c r="D144" s="336"/>
      <c r="E144" s="336"/>
      <c r="F144" s="338"/>
      <c r="G144" s="338"/>
      <c r="H144" s="338"/>
      <c r="I144" s="339"/>
    </row>
    <row r="145" spans="1:9" hidden="1">
      <c r="A145" s="334"/>
      <c r="B145" s="335">
        <v>1</v>
      </c>
      <c r="C145" s="336" t="s">
        <v>406</v>
      </c>
      <c r="D145" s="336" t="s">
        <v>445</v>
      </c>
      <c r="E145" s="336"/>
      <c r="F145" s="338">
        <f>[2]Hardas!$E$246</f>
        <v>680000</v>
      </c>
      <c r="G145" s="338"/>
      <c r="H145" s="338">
        <f>F145*B145</f>
        <v>680000</v>
      </c>
      <c r="I145" s="339"/>
    </row>
    <row r="146" spans="1:9" hidden="1">
      <c r="A146" s="334"/>
      <c r="B146" s="335">
        <v>0.25</v>
      </c>
      <c r="C146" s="336" t="s">
        <v>446</v>
      </c>
      <c r="D146" s="336" t="s">
        <v>9</v>
      </c>
      <c r="E146" s="336"/>
      <c r="F146" s="338">
        <f>H145*0.1</f>
        <v>68000</v>
      </c>
      <c r="G146" s="338"/>
      <c r="H146" s="338">
        <f>F146*B146</f>
        <v>17000</v>
      </c>
      <c r="I146" s="339"/>
    </row>
    <row r="147" spans="1:9" hidden="1">
      <c r="A147" s="334"/>
      <c r="B147" s="335"/>
      <c r="C147" s="336"/>
      <c r="D147" s="336"/>
      <c r="E147" s="336"/>
      <c r="F147" s="338"/>
      <c r="G147" s="338"/>
      <c r="H147" s="338"/>
      <c r="I147" s="339"/>
    </row>
    <row r="148" spans="1:9" hidden="1">
      <c r="A148" s="340"/>
      <c r="B148" s="330"/>
      <c r="C148" s="331"/>
      <c r="D148" s="331"/>
      <c r="E148" s="331" t="s">
        <v>410</v>
      </c>
      <c r="F148" s="332"/>
      <c r="G148" s="332"/>
      <c r="H148" s="332"/>
      <c r="I148" s="333">
        <f>SUM(H145:H148)</f>
        <v>697000</v>
      </c>
    </row>
    <row r="149" spans="1:9" hidden="1">
      <c r="A149" s="334"/>
      <c r="B149" s="335"/>
      <c r="C149" s="336"/>
      <c r="D149" s="336"/>
      <c r="E149" s="336"/>
      <c r="F149" s="338"/>
      <c r="G149" s="338"/>
      <c r="H149" s="338"/>
      <c r="I149" s="339"/>
    </row>
    <row r="150" spans="1:9" hidden="1">
      <c r="A150" s="334"/>
      <c r="B150" s="335"/>
      <c r="C150" s="336"/>
      <c r="D150" s="336"/>
      <c r="E150" s="336"/>
      <c r="F150" s="338"/>
      <c r="G150" s="338"/>
      <c r="H150" s="338"/>
      <c r="I150" s="339"/>
    </row>
    <row r="151" spans="1:9" hidden="1">
      <c r="A151" s="334"/>
      <c r="B151" s="335"/>
      <c r="C151" s="336"/>
      <c r="D151" s="336"/>
      <c r="E151" s="336"/>
      <c r="F151" s="338"/>
      <c r="G151" s="338"/>
      <c r="H151" s="338"/>
      <c r="I151" s="339"/>
    </row>
    <row r="152" spans="1:9" hidden="1">
      <c r="A152" s="340"/>
      <c r="B152" s="330"/>
      <c r="C152" s="331"/>
      <c r="D152" s="331"/>
      <c r="E152" s="331" t="s">
        <v>411</v>
      </c>
      <c r="F152" s="332"/>
      <c r="G152" s="332"/>
      <c r="H152" s="332"/>
      <c r="I152" s="333"/>
    </row>
    <row r="153" spans="1:9" hidden="1">
      <c r="A153" s="340"/>
      <c r="B153" s="330"/>
      <c r="C153" s="331"/>
      <c r="D153" s="331" t="s">
        <v>412</v>
      </c>
      <c r="E153" s="331"/>
      <c r="F153" s="332"/>
      <c r="G153" s="332"/>
      <c r="H153" s="332"/>
      <c r="I153" s="333">
        <f>SUM(I139:I152)</f>
        <v>792020</v>
      </c>
    </row>
    <row r="154" spans="1:9" hidden="1">
      <c r="A154" s="340"/>
      <c r="B154" s="330"/>
      <c r="C154" s="331"/>
      <c r="D154" s="331" t="s">
        <v>413</v>
      </c>
      <c r="E154" s="331"/>
      <c r="F154" s="332"/>
      <c r="G154" s="332"/>
      <c r="H154" s="332"/>
      <c r="I154" s="333">
        <f>I153*0.1</f>
        <v>79202</v>
      </c>
    </row>
    <row r="155" spans="1:9" hidden="1">
      <c r="A155" s="340"/>
      <c r="B155" s="356"/>
      <c r="C155" s="357"/>
      <c r="D155" s="331" t="s">
        <v>414</v>
      </c>
      <c r="E155" s="357"/>
      <c r="F155" s="332"/>
      <c r="G155" s="332"/>
      <c r="H155" s="332"/>
      <c r="I155" s="333">
        <f>ROUNDDOWN(I154+I153,0)</f>
        <v>871222</v>
      </c>
    </row>
    <row r="156" spans="1:9" s="376" customFormat="1" hidden="1">
      <c r="A156" s="374"/>
      <c r="B156" s="375" t="s">
        <v>447</v>
      </c>
      <c r="C156" s="363"/>
      <c r="D156" s="363"/>
      <c r="E156" s="363"/>
      <c r="F156" s="372"/>
      <c r="G156" s="372"/>
      <c r="H156" s="372"/>
      <c r="I156" s="365">
        <f>I155/20</f>
        <v>43561.1</v>
      </c>
    </row>
    <row r="157" spans="1:9" s="376" customFormat="1" ht="13.5" hidden="1" thickBot="1">
      <c r="A157" s="377"/>
      <c r="B157" s="378"/>
      <c r="C157" s="369"/>
      <c r="D157" s="369"/>
      <c r="E157" s="369"/>
      <c r="F157" s="373"/>
      <c r="G157" s="373"/>
      <c r="H157" s="373"/>
      <c r="I157" s="371"/>
    </row>
    <row r="158" spans="1:9" ht="14.25" thickTop="1" thickBot="1">
      <c r="A158" s="319" t="s">
        <v>8</v>
      </c>
      <c r="B158" s="379" t="s">
        <v>448</v>
      </c>
      <c r="C158" s="321"/>
      <c r="D158" s="321"/>
      <c r="E158" s="321"/>
      <c r="F158" s="322"/>
      <c r="G158" s="322"/>
      <c r="H158" s="322"/>
      <c r="I158" s="323"/>
    </row>
    <row r="159" spans="1:9" ht="14.25" thickTop="1" thickBot="1">
      <c r="A159" s="492" t="s">
        <v>0</v>
      </c>
      <c r="B159" s="500" t="s">
        <v>397</v>
      </c>
      <c r="C159" s="493" t="s">
        <v>398</v>
      </c>
      <c r="D159" s="493" t="s">
        <v>1</v>
      </c>
      <c r="E159" s="494"/>
      <c r="F159" s="501" t="s">
        <v>399</v>
      </c>
      <c r="G159" s="501" t="s">
        <v>400</v>
      </c>
      <c r="H159" s="501" t="s">
        <v>401</v>
      </c>
      <c r="I159" s="502" t="s">
        <v>402</v>
      </c>
    </row>
    <row r="160" spans="1:9" ht="13.5" thickTop="1">
      <c r="A160" s="351"/>
      <c r="B160" s="352" t="s">
        <v>449</v>
      </c>
      <c r="C160" s="353"/>
      <c r="D160" s="353"/>
      <c r="E160" s="353"/>
      <c r="F160" s="354"/>
      <c r="G160" s="354"/>
      <c r="H160" s="354"/>
      <c r="I160" s="355"/>
    </row>
    <row r="161" spans="1:9">
      <c r="A161" s="329">
        <v>1</v>
      </c>
      <c r="B161" s="330" t="s">
        <v>450</v>
      </c>
      <c r="C161" s="331"/>
      <c r="D161" s="331"/>
      <c r="E161" s="331"/>
      <c r="F161" s="332"/>
      <c r="G161" s="332"/>
      <c r="H161" s="332"/>
      <c r="I161" s="333"/>
    </row>
    <row r="162" spans="1:9">
      <c r="A162" s="334"/>
      <c r="B162" s="335"/>
      <c r="C162" s="336"/>
      <c r="D162" s="336"/>
      <c r="E162" s="336"/>
      <c r="F162" s="338"/>
      <c r="G162" s="338"/>
      <c r="H162" s="338"/>
      <c r="I162" s="339"/>
    </row>
    <row r="163" spans="1:9">
      <c r="A163" s="334"/>
      <c r="B163" s="335">
        <v>4.0000000000000001E-3</v>
      </c>
      <c r="C163" s="336"/>
      <c r="D163" s="336" t="s">
        <v>3</v>
      </c>
      <c r="E163" s="336"/>
      <c r="F163" s="337">
        <f>'Bahan &amp; Upah'!E9</f>
        <v>100000</v>
      </c>
      <c r="G163" s="338">
        <f>F163*B163</f>
        <v>400</v>
      </c>
      <c r="H163" s="338"/>
      <c r="I163" s="339"/>
    </row>
    <row r="164" spans="1:9">
      <c r="A164" s="334"/>
      <c r="B164" s="335">
        <v>7.0000000000000001E-3</v>
      </c>
      <c r="C164" s="336"/>
      <c r="D164" s="336" t="s">
        <v>4</v>
      </c>
      <c r="E164" s="336"/>
      <c r="F164" s="338">
        <f>'Bahan &amp; Upah'!E10</f>
        <v>99000</v>
      </c>
      <c r="G164" s="338">
        <f>F164*B164</f>
        <v>693</v>
      </c>
      <c r="H164" s="338"/>
      <c r="I164" s="339"/>
    </row>
    <row r="165" spans="1:9">
      <c r="A165" s="334"/>
      <c r="B165" s="335">
        <v>7.0000000000000007E-2</v>
      </c>
      <c r="C165" s="336"/>
      <c r="D165" s="336" t="s">
        <v>10</v>
      </c>
      <c r="E165" s="336"/>
      <c r="F165" s="338">
        <f>'Bahan &amp; Upah'!E11</f>
        <v>82000</v>
      </c>
      <c r="G165" s="338">
        <f>F165*B165</f>
        <v>5740.0000000000009</v>
      </c>
      <c r="H165" s="338"/>
      <c r="I165" s="339"/>
    </row>
    <row r="166" spans="1:9">
      <c r="A166" s="334"/>
      <c r="B166" s="335">
        <v>7.0000000000000007E-2</v>
      </c>
      <c r="C166" s="336"/>
      <c r="D166" s="336" t="s">
        <v>6</v>
      </c>
      <c r="E166" s="336"/>
      <c r="F166" s="338">
        <f>'Bahan &amp; Upah'!E18</f>
        <v>71000</v>
      </c>
      <c r="G166" s="338">
        <f>F166*B166</f>
        <v>4970.0000000000009</v>
      </c>
      <c r="H166" s="338"/>
      <c r="I166" s="339"/>
    </row>
    <row r="167" spans="1:9">
      <c r="A167" s="340"/>
      <c r="B167" s="330"/>
      <c r="C167" s="331"/>
      <c r="D167" s="331"/>
      <c r="E167" s="331" t="s">
        <v>405</v>
      </c>
      <c r="F167" s="332"/>
      <c r="G167" s="332"/>
      <c r="H167" s="332"/>
      <c r="I167" s="333">
        <f>SUM(G163:G167)</f>
        <v>11803.000000000002</v>
      </c>
    </row>
    <row r="168" spans="1:9">
      <c r="A168" s="334"/>
      <c r="B168" s="335"/>
      <c r="C168" s="336"/>
      <c r="D168" s="336"/>
      <c r="E168" s="336"/>
      <c r="F168" s="338"/>
      <c r="G168" s="338"/>
      <c r="H168" s="338"/>
      <c r="I168" s="339"/>
    </row>
    <row r="169" spans="1:9">
      <c r="A169" s="334"/>
      <c r="B169" s="335">
        <v>10.5</v>
      </c>
      <c r="C169" s="336" t="s">
        <v>7</v>
      </c>
      <c r="D169" s="336" t="s">
        <v>451</v>
      </c>
      <c r="E169" s="336"/>
      <c r="F169" s="338">
        <f>[2]Hardas!$E$65</f>
        <v>9400</v>
      </c>
      <c r="G169" s="338"/>
      <c r="H169" s="338">
        <f>F169*B169</f>
        <v>98700</v>
      </c>
      <c r="I169" s="339"/>
    </row>
    <row r="170" spans="1:9">
      <c r="A170" s="334"/>
      <c r="B170" s="335">
        <v>0.15</v>
      </c>
      <c r="C170" s="336" t="s">
        <v>7</v>
      </c>
      <c r="D170" s="336" t="s">
        <v>11</v>
      </c>
      <c r="E170" s="336"/>
      <c r="F170" s="338">
        <f>[2]Hardas!$E$67</f>
        <v>12650</v>
      </c>
      <c r="G170" s="338"/>
      <c r="H170" s="338">
        <f>F170*B170</f>
        <v>1897.5</v>
      </c>
      <c r="I170" s="339"/>
    </row>
    <row r="171" spans="1:9">
      <c r="A171" s="340"/>
      <c r="B171" s="330"/>
      <c r="C171" s="331"/>
      <c r="D171" s="331"/>
      <c r="E171" s="331" t="s">
        <v>410</v>
      </c>
      <c r="F171" s="332"/>
      <c r="G171" s="332"/>
      <c r="H171" s="332"/>
      <c r="I171" s="333">
        <f>SUM(H169:H171)</f>
        <v>100597.5</v>
      </c>
    </row>
    <row r="172" spans="1:9">
      <c r="A172" s="334"/>
      <c r="B172" s="335"/>
      <c r="C172" s="336"/>
      <c r="D172" s="336"/>
      <c r="E172" s="336"/>
      <c r="F172" s="338"/>
      <c r="G172" s="338"/>
      <c r="H172" s="338"/>
      <c r="I172" s="339"/>
    </row>
    <row r="173" spans="1:9">
      <c r="A173" s="334"/>
      <c r="B173" s="335"/>
      <c r="C173" s="336"/>
      <c r="D173" s="336"/>
      <c r="E173" s="336"/>
      <c r="F173" s="338"/>
      <c r="G173" s="338"/>
      <c r="H173" s="338"/>
      <c r="I173" s="339"/>
    </row>
    <row r="174" spans="1:9">
      <c r="A174" s="334"/>
      <c r="B174" s="335"/>
      <c r="C174" s="336"/>
      <c r="D174" s="336"/>
      <c r="E174" s="336"/>
      <c r="F174" s="338"/>
      <c r="G174" s="338"/>
      <c r="H174" s="338"/>
      <c r="I174" s="339"/>
    </row>
    <row r="175" spans="1:9">
      <c r="A175" s="340"/>
      <c r="B175" s="330"/>
      <c r="C175" s="331"/>
      <c r="D175" s="331"/>
      <c r="E175" s="331" t="s">
        <v>411</v>
      </c>
      <c r="F175" s="332"/>
      <c r="G175" s="332"/>
      <c r="H175" s="332"/>
      <c r="I175" s="333"/>
    </row>
    <row r="176" spans="1:9">
      <c r="A176" s="340"/>
      <c r="B176" s="330"/>
      <c r="C176" s="331"/>
      <c r="D176" s="331" t="s">
        <v>412</v>
      </c>
      <c r="E176" s="331"/>
      <c r="F176" s="332"/>
      <c r="G176" s="332"/>
      <c r="H176" s="332"/>
      <c r="I176" s="333">
        <f>SUM(I163:I175)</f>
        <v>112400.5</v>
      </c>
    </row>
    <row r="177" spans="1:9">
      <c r="A177" s="340"/>
      <c r="B177" s="330"/>
      <c r="C177" s="331"/>
      <c r="D177" s="331" t="s">
        <v>413</v>
      </c>
      <c r="E177" s="331"/>
      <c r="F177" s="332"/>
      <c r="G177" s="332"/>
      <c r="H177" s="332"/>
      <c r="I177" s="333">
        <f>I176*0.1</f>
        <v>11240.050000000001</v>
      </c>
    </row>
    <row r="178" spans="1:9">
      <c r="A178" s="340"/>
      <c r="B178" s="356"/>
      <c r="C178" s="357"/>
      <c r="D178" s="331" t="s">
        <v>414</v>
      </c>
      <c r="E178" s="357"/>
      <c r="F178" s="332"/>
      <c r="G178" s="332"/>
      <c r="H178" s="332"/>
      <c r="I178" s="333">
        <f>ROUNDDOWN(I177+I176,0)</f>
        <v>123640</v>
      </c>
    </row>
    <row r="179" spans="1:9" ht="13.5" thickBot="1">
      <c r="A179" s="374"/>
      <c r="B179" s="375"/>
      <c r="C179" s="363"/>
      <c r="D179" s="363" t="s">
        <v>452</v>
      </c>
      <c r="E179" s="363"/>
      <c r="F179" s="372"/>
      <c r="G179" s="372"/>
      <c r="H179" s="372"/>
      <c r="I179" s="365">
        <f>I178/10</f>
        <v>12364</v>
      </c>
    </row>
    <row r="180" spans="1:9" ht="12.75" customHeight="1" thickTop="1" thickBot="1">
      <c r="A180" s="492" t="s">
        <v>0</v>
      </c>
      <c r="B180" s="500" t="s">
        <v>397</v>
      </c>
      <c r="C180" s="493" t="s">
        <v>398</v>
      </c>
      <c r="D180" s="493" t="s">
        <v>1</v>
      </c>
      <c r="E180" s="494"/>
      <c r="F180" s="501" t="s">
        <v>399</v>
      </c>
      <c r="G180" s="501" t="s">
        <v>400</v>
      </c>
      <c r="H180" s="501" t="s">
        <v>401</v>
      </c>
      <c r="I180" s="502" t="s">
        <v>402</v>
      </c>
    </row>
    <row r="181" spans="1:9" ht="11.25" customHeight="1" thickTop="1">
      <c r="A181" s="351">
        <v>4</v>
      </c>
      <c r="B181" s="352" t="s">
        <v>457</v>
      </c>
      <c r="C181" s="353"/>
      <c r="D181" s="353"/>
      <c r="E181" s="353"/>
      <c r="F181" s="354"/>
      <c r="G181" s="354"/>
      <c r="H181" s="354"/>
      <c r="I181" s="355"/>
    </row>
    <row r="182" spans="1:9" ht="12.75" customHeight="1">
      <c r="A182" s="334"/>
      <c r="B182" s="335"/>
      <c r="C182" s="336"/>
      <c r="D182" s="336"/>
      <c r="E182" s="336"/>
      <c r="F182" s="338"/>
      <c r="G182" s="338"/>
      <c r="H182" s="338"/>
      <c r="I182" s="339"/>
    </row>
    <row r="183" spans="1:9" ht="12" customHeight="1">
      <c r="A183" s="334"/>
      <c r="B183" s="335">
        <v>3.3000000000000002E-2</v>
      </c>
      <c r="C183" s="336"/>
      <c r="D183" s="336" t="s">
        <v>3</v>
      </c>
      <c r="E183" s="336"/>
      <c r="F183" s="337">
        <f>F163</f>
        <v>100000</v>
      </c>
      <c r="G183" s="338">
        <f>F183*B183</f>
        <v>3300</v>
      </c>
      <c r="H183" s="338"/>
      <c r="I183" s="339"/>
    </row>
    <row r="184" spans="1:9" ht="12" customHeight="1">
      <c r="A184" s="334"/>
      <c r="B184" s="335">
        <v>3.3000000000000002E-2</v>
      </c>
      <c r="C184" s="336"/>
      <c r="D184" s="336" t="s">
        <v>4</v>
      </c>
      <c r="E184" s="336"/>
      <c r="F184" s="338">
        <f>F164</f>
        <v>99000</v>
      </c>
      <c r="G184" s="338">
        <f>F184*B184</f>
        <v>3267</v>
      </c>
      <c r="H184" s="338"/>
      <c r="I184" s="339"/>
    </row>
    <row r="185" spans="1:9" ht="12" customHeight="1">
      <c r="A185" s="334"/>
      <c r="B185" s="335">
        <v>0.33</v>
      </c>
      <c r="C185" s="336"/>
      <c r="D185" s="336" t="s">
        <v>5</v>
      </c>
      <c r="E185" s="336"/>
      <c r="F185" s="338">
        <f>F165</f>
        <v>82000</v>
      </c>
      <c r="G185" s="338">
        <f>F185*B185</f>
        <v>27060</v>
      </c>
      <c r="H185" s="338"/>
      <c r="I185" s="339"/>
    </row>
    <row r="186" spans="1:9" ht="12" customHeight="1">
      <c r="A186" s="334"/>
      <c r="B186" s="335">
        <v>0.66</v>
      </c>
      <c r="C186" s="336"/>
      <c r="D186" s="336" t="s">
        <v>6</v>
      </c>
      <c r="E186" s="336"/>
      <c r="F186" s="338">
        <f>F166</f>
        <v>71000</v>
      </c>
      <c r="G186" s="338">
        <f>F186*B186</f>
        <v>46860</v>
      </c>
      <c r="H186" s="338"/>
      <c r="I186" s="339"/>
    </row>
    <row r="187" spans="1:9" ht="12.75" customHeight="1">
      <c r="A187" s="329"/>
      <c r="B187" s="330"/>
      <c r="C187" s="331"/>
      <c r="D187" s="331"/>
      <c r="E187" s="331" t="s">
        <v>405</v>
      </c>
      <c r="F187" s="332"/>
      <c r="G187" s="332"/>
      <c r="H187" s="332"/>
      <c r="I187" s="333">
        <f>SUM(G183:G187)</f>
        <v>80487</v>
      </c>
    </row>
    <row r="188" spans="1:9" ht="13.5" customHeight="1">
      <c r="A188" s="334"/>
      <c r="B188" s="335"/>
      <c r="C188" s="336"/>
      <c r="D188" s="336"/>
      <c r="E188" s="336"/>
      <c r="F188" s="338"/>
      <c r="G188" s="338"/>
      <c r="H188" s="338"/>
      <c r="I188" s="339"/>
    </row>
    <row r="189" spans="1:9" ht="13.5" customHeight="1">
      <c r="A189" s="334"/>
      <c r="B189" s="335">
        <f>0.044/3</f>
        <v>1.4666666666666666E-2</v>
      </c>
      <c r="C189" s="336" t="s">
        <v>406</v>
      </c>
      <c r="D189" s="336" t="s">
        <v>454</v>
      </c>
      <c r="E189" s="336"/>
      <c r="F189" s="338">
        <f>[2]Hardas!$E$51</f>
        <v>1800000</v>
      </c>
      <c r="G189" s="338"/>
      <c r="H189" s="338">
        <f t="shared" ref="H189:H194" si="2">F189*B189</f>
        <v>26400</v>
      </c>
      <c r="I189" s="339"/>
    </row>
    <row r="190" spans="1:9" ht="13.5" customHeight="1">
      <c r="A190" s="334"/>
      <c r="B190" s="335">
        <v>0.4</v>
      </c>
      <c r="C190" s="336" t="s">
        <v>7</v>
      </c>
      <c r="D190" s="336" t="s">
        <v>14</v>
      </c>
      <c r="E190" s="336"/>
      <c r="F190" s="338">
        <f>[2]Hardas!$E$60</f>
        <v>10500</v>
      </c>
      <c r="G190" s="338"/>
      <c r="H190" s="338">
        <f t="shared" si="2"/>
        <v>4200</v>
      </c>
      <c r="I190" s="339"/>
    </row>
    <row r="191" spans="1:9" ht="13.5" customHeight="1">
      <c r="A191" s="334"/>
      <c r="B191" s="335">
        <v>0.2</v>
      </c>
      <c r="C191" s="336" t="s">
        <v>455</v>
      </c>
      <c r="D191" s="336" t="s">
        <v>15</v>
      </c>
      <c r="E191" s="336"/>
      <c r="F191" s="338">
        <f>[2]Hardas!$E$83</f>
        <v>5000</v>
      </c>
      <c r="G191" s="338"/>
      <c r="H191" s="338">
        <f t="shared" si="2"/>
        <v>1000</v>
      </c>
      <c r="I191" s="339"/>
    </row>
    <row r="192" spans="1:9" ht="13.5" customHeight="1">
      <c r="A192" s="334"/>
      <c r="B192" s="335">
        <f>0.015/3</f>
        <v>5.0000000000000001E-3</v>
      </c>
      <c r="C192" s="336" t="s">
        <v>406</v>
      </c>
      <c r="D192" s="336" t="s">
        <v>458</v>
      </c>
      <c r="E192" s="336"/>
      <c r="F192" s="338">
        <f>[2]Hardas!$E$51</f>
        <v>1800000</v>
      </c>
      <c r="G192" s="338"/>
      <c r="H192" s="338">
        <f t="shared" si="2"/>
        <v>9000</v>
      </c>
      <c r="I192" s="339"/>
    </row>
    <row r="193" spans="1:9" ht="13.5" customHeight="1">
      <c r="A193" s="334"/>
      <c r="B193" s="335">
        <f>0.35/3</f>
        <v>0.11666666666666665</v>
      </c>
      <c r="C193" s="336" t="s">
        <v>437</v>
      </c>
      <c r="D193" s="336" t="s">
        <v>459</v>
      </c>
      <c r="E193" s="336"/>
      <c r="F193" s="338">
        <f>[2]Hardas!$E$114</f>
        <v>103980</v>
      </c>
      <c r="G193" s="338"/>
      <c r="H193" s="338">
        <f t="shared" si="2"/>
        <v>12130.999999999998</v>
      </c>
      <c r="I193" s="339"/>
    </row>
    <row r="194" spans="1:9" ht="13.5" customHeight="1">
      <c r="A194" s="334"/>
      <c r="B194" s="335">
        <f>2/3</f>
        <v>0.66666666666666663</v>
      </c>
      <c r="C194" s="336" t="s">
        <v>417</v>
      </c>
      <c r="D194" s="336" t="s">
        <v>418</v>
      </c>
      <c r="E194" s="336"/>
      <c r="F194" s="338">
        <f>[2]Hardas!$E$54</f>
        <v>21820</v>
      </c>
      <c r="G194" s="338"/>
      <c r="H194" s="338">
        <f t="shared" si="2"/>
        <v>14546.666666666666</v>
      </c>
      <c r="I194" s="339"/>
    </row>
    <row r="195" spans="1:9" ht="13.5" customHeight="1">
      <c r="A195" s="329"/>
      <c r="B195" s="330"/>
      <c r="C195" s="331"/>
      <c r="D195" s="331"/>
      <c r="E195" s="331" t="s">
        <v>410</v>
      </c>
      <c r="F195" s="332"/>
      <c r="G195" s="332"/>
      <c r="H195" s="332"/>
      <c r="I195" s="333">
        <f>SUM(H189:H195)</f>
        <v>67277.666666666672</v>
      </c>
    </row>
    <row r="196" spans="1:9" ht="13.5" customHeight="1">
      <c r="A196" s="334"/>
      <c r="B196" s="335"/>
      <c r="C196" s="336"/>
      <c r="D196" s="336"/>
      <c r="E196" s="336"/>
      <c r="F196" s="338"/>
      <c r="G196" s="338"/>
      <c r="H196" s="338"/>
      <c r="I196" s="339"/>
    </row>
    <row r="197" spans="1:9" ht="13.5" customHeight="1">
      <c r="A197" s="334"/>
      <c r="B197" s="335"/>
      <c r="C197" s="336"/>
      <c r="D197" s="336"/>
      <c r="E197" s="336"/>
      <c r="F197" s="338"/>
      <c r="G197" s="338"/>
      <c r="H197" s="338"/>
      <c r="I197" s="339"/>
    </row>
    <row r="198" spans="1:9" ht="13.5" customHeight="1">
      <c r="A198" s="334"/>
      <c r="B198" s="335"/>
      <c r="C198" s="336"/>
      <c r="D198" s="336"/>
      <c r="E198" s="336"/>
      <c r="F198" s="338"/>
      <c r="G198" s="338"/>
      <c r="H198" s="338"/>
      <c r="I198" s="339"/>
    </row>
    <row r="199" spans="1:9" ht="13.5" customHeight="1">
      <c r="A199" s="340"/>
      <c r="B199" s="330"/>
      <c r="C199" s="331"/>
      <c r="D199" s="331"/>
      <c r="E199" s="331" t="s">
        <v>411</v>
      </c>
      <c r="F199" s="332"/>
      <c r="G199" s="332"/>
      <c r="H199" s="332"/>
      <c r="I199" s="333"/>
    </row>
    <row r="200" spans="1:9" ht="13.5" customHeight="1">
      <c r="A200" s="340"/>
      <c r="B200" s="330"/>
      <c r="C200" s="331"/>
      <c r="D200" s="331" t="s">
        <v>412</v>
      </c>
      <c r="E200" s="331"/>
      <c r="F200" s="332"/>
      <c r="G200" s="332"/>
      <c r="H200" s="332"/>
      <c r="I200" s="333">
        <f>SUM(I183:I199)</f>
        <v>147764.66666666669</v>
      </c>
    </row>
    <row r="201" spans="1:9" ht="13.5" customHeight="1">
      <c r="A201" s="340"/>
      <c r="B201" s="330"/>
      <c r="C201" s="331"/>
      <c r="D201" s="331" t="s">
        <v>413</v>
      </c>
      <c r="E201" s="331"/>
      <c r="F201" s="332"/>
      <c r="G201" s="332"/>
      <c r="H201" s="332"/>
      <c r="I201" s="333">
        <f>I200*0.1</f>
        <v>14776.466666666669</v>
      </c>
    </row>
    <row r="202" spans="1:9" ht="13.5" customHeight="1">
      <c r="A202" s="340"/>
      <c r="B202" s="356"/>
      <c r="C202" s="357"/>
      <c r="D202" s="331" t="s">
        <v>414</v>
      </c>
      <c r="E202" s="357"/>
      <c r="F202" s="332"/>
      <c r="G202" s="332"/>
      <c r="H202" s="332"/>
      <c r="I202" s="333">
        <f>ROUNDDOWN(I201+I200,0)</f>
        <v>162541</v>
      </c>
    </row>
    <row r="203" spans="1:9" ht="13.5" customHeight="1">
      <c r="A203" s="374"/>
      <c r="B203" s="375" t="s">
        <v>456</v>
      </c>
      <c r="C203" s="363"/>
      <c r="D203" s="363"/>
      <c r="E203" s="363"/>
      <c r="F203" s="372"/>
      <c r="G203" s="372"/>
      <c r="H203" s="372"/>
      <c r="I203" s="365">
        <f>I202</f>
        <v>162541</v>
      </c>
    </row>
    <row r="204" spans="1:9" ht="13.5" customHeight="1" thickBot="1">
      <c r="A204" s="377"/>
      <c r="B204" s="378"/>
      <c r="C204" s="369"/>
      <c r="D204" s="369"/>
      <c r="E204" s="369"/>
      <c r="F204" s="373"/>
      <c r="G204" s="373"/>
      <c r="H204" s="373"/>
      <c r="I204" s="371"/>
    </row>
    <row r="205" spans="1:9" ht="13.5" customHeight="1" thickTop="1" thickBot="1">
      <c r="A205" s="492" t="s">
        <v>0</v>
      </c>
      <c r="B205" s="500" t="s">
        <v>397</v>
      </c>
      <c r="C205" s="493" t="s">
        <v>398</v>
      </c>
      <c r="D205" s="493" t="s">
        <v>1</v>
      </c>
      <c r="E205" s="494"/>
      <c r="F205" s="501" t="s">
        <v>399</v>
      </c>
      <c r="G205" s="501" t="s">
        <v>400</v>
      </c>
      <c r="H205" s="501" t="s">
        <v>401</v>
      </c>
      <c r="I205" s="502" t="s">
        <v>402</v>
      </c>
    </row>
    <row r="206" spans="1:9" ht="13.5" customHeight="1" thickTop="1">
      <c r="A206" s="351">
        <v>5</v>
      </c>
      <c r="B206" s="352" t="s">
        <v>585</v>
      </c>
      <c r="C206" s="353"/>
      <c r="D206" s="353"/>
      <c r="E206" s="353"/>
      <c r="F206" s="354"/>
      <c r="G206" s="354"/>
      <c r="H206" s="354"/>
      <c r="I206" s="355"/>
    </row>
    <row r="207" spans="1:9" ht="13.5" customHeight="1">
      <c r="A207" s="334"/>
      <c r="B207" s="335"/>
      <c r="C207" s="336"/>
      <c r="D207" s="336"/>
      <c r="E207" s="336"/>
      <c r="F207" s="338"/>
      <c r="G207" s="338"/>
      <c r="H207" s="338"/>
      <c r="I207" s="339"/>
    </row>
    <row r="208" spans="1:9" ht="13.5" customHeight="1">
      <c r="A208" s="334"/>
      <c r="B208" s="335">
        <v>3.3000000000000002E-2</v>
      </c>
      <c r="C208" s="336"/>
      <c r="D208" s="336" t="s">
        <v>3</v>
      </c>
      <c r="E208" s="336"/>
      <c r="F208" s="337">
        <f>F183</f>
        <v>100000</v>
      </c>
      <c r="G208" s="338">
        <f>F208*B208</f>
        <v>3300</v>
      </c>
      <c r="H208" s="338"/>
      <c r="I208" s="339"/>
    </row>
    <row r="209" spans="1:9" ht="13.5" customHeight="1">
      <c r="A209" s="334"/>
      <c r="B209" s="335">
        <v>3.3000000000000002E-2</v>
      </c>
      <c r="C209" s="336"/>
      <c r="D209" s="336" t="s">
        <v>4</v>
      </c>
      <c r="E209" s="336"/>
      <c r="F209" s="338">
        <f>F184</f>
        <v>99000</v>
      </c>
      <c r="G209" s="338">
        <f>F209*B209</f>
        <v>3267</v>
      </c>
      <c r="H209" s="338"/>
      <c r="I209" s="339"/>
    </row>
    <row r="210" spans="1:9" ht="13.5" customHeight="1">
      <c r="A210" s="334"/>
      <c r="B210" s="335">
        <v>0.33</v>
      </c>
      <c r="C210" s="336"/>
      <c r="D210" s="336" t="s">
        <v>5</v>
      </c>
      <c r="E210" s="336"/>
      <c r="F210" s="338">
        <f>F185</f>
        <v>82000</v>
      </c>
      <c r="G210" s="338">
        <f>F210*B210</f>
        <v>27060</v>
      </c>
      <c r="H210" s="338"/>
      <c r="I210" s="339"/>
    </row>
    <row r="211" spans="1:9" ht="13.5" customHeight="1">
      <c r="A211" s="334"/>
      <c r="B211" s="335">
        <v>0.66</v>
      </c>
      <c r="C211" s="336"/>
      <c r="D211" s="336" t="s">
        <v>6</v>
      </c>
      <c r="E211" s="336"/>
      <c r="F211" s="338">
        <f>F186</f>
        <v>71000</v>
      </c>
      <c r="G211" s="338">
        <f>F211*B211</f>
        <v>46860</v>
      </c>
      <c r="H211" s="338"/>
      <c r="I211" s="339"/>
    </row>
    <row r="212" spans="1:9" ht="13.5" customHeight="1">
      <c r="A212" s="329"/>
      <c r="B212" s="330"/>
      <c r="C212" s="331"/>
      <c r="D212" s="331"/>
      <c r="E212" s="331" t="s">
        <v>405</v>
      </c>
      <c r="F212" s="332"/>
      <c r="G212" s="332"/>
      <c r="H212" s="332"/>
      <c r="I212" s="333">
        <f>SUM(G208:G212)</f>
        <v>80487</v>
      </c>
    </row>
    <row r="213" spans="1:9" ht="13.5" customHeight="1">
      <c r="A213" s="334"/>
      <c r="B213" s="335"/>
      <c r="C213" s="336"/>
      <c r="D213" s="336"/>
      <c r="E213" s="336"/>
      <c r="F213" s="338"/>
      <c r="G213" s="338"/>
      <c r="H213" s="338"/>
      <c r="I213" s="339"/>
    </row>
    <row r="214" spans="1:9" ht="13.5" customHeight="1">
      <c r="A214" s="334"/>
      <c r="B214" s="335">
        <f>0.044/3</f>
        <v>1.4666666666666666E-2</v>
      </c>
      <c r="C214" s="336" t="s">
        <v>406</v>
      </c>
      <c r="D214" s="336" t="s">
        <v>454</v>
      </c>
      <c r="E214" s="336"/>
      <c r="F214" s="338">
        <f>[2]Hardas!$E$51</f>
        <v>1800000</v>
      </c>
      <c r="G214" s="338"/>
      <c r="H214" s="338">
        <f t="shared" ref="H214:H219" si="3">F214*B214</f>
        <v>26400</v>
      </c>
      <c r="I214" s="339"/>
    </row>
    <row r="215" spans="1:9" ht="13.5" customHeight="1">
      <c r="A215" s="334"/>
      <c r="B215" s="335">
        <v>0.4</v>
      </c>
      <c r="C215" s="336" t="s">
        <v>7</v>
      </c>
      <c r="D215" s="336" t="s">
        <v>14</v>
      </c>
      <c r="E215" s="336"/>
      <c r="F215" s="338">
        <f>[2]Hardas!$E$60</f>
        <v>10500</v>
      </c>
      <c r="G215" s="338"/>
      <c r="H215" s="338">
        <f t="shared" si="3"/>
        <v>4200</v>
      </c>
      <c r="I215" s="339"/>
    </row>
    <row r="216" spans="1:9" ht="13.5" customHeight="1">
      <c r="A216" s="334"/>
      <c r="B216" s="335">
        <v>0.2</v>
      </c>
      <c r="C216" s="336" t="s">
        <v>455</v>
      </c>
      <c r="D216" s="336" t="s">
        <v>15</v>
      </c>
      <c r="E216" s="336"/>
      <c r="F216" s="338">
        <f>[2]Hardas!$E$83</f>
        <v>5000</v>
      </c>
      <c r="G216" s="338"/>
      <c r="H216" s="338">
        <f t="shared" si="3"/>
        <v>1000</v>
      </c>
      <c r="I216" s="339"/>
    </row>
    <row r="217" spans="1:9" ht="13.5" customHeight="1">
      <c r="A217" s="334"/>
      <c r="B217" s="335">
        <f>0.015/3</f>
        <v>5.0000000000000001E-3</v>
      </c>
      <c r="C217" s="336" t="s">
        <v>406</v>
      </c>
      <c r="D217" s="336" t="s">
        <v>458</v>
      </c>
      <c r="E217" s="336"/>
      <c r="F217" s="338">
        <f>[2]Hardas!$E$51</f>
        <v>1800000</v>
      </c>
      <c r="G217" s="338"/>
      <c r="H217" s="338">
        <f t="shared" si="3"/>
        <v>9000</v>
      </c>
      <c r="I217" s="339"/>
    </row>
    <row r="218" spans="1:9" ht="13.5" customHeight="1">
      <c r="A218" s="334"/>
      <c r="B218" s="335">
        <f>0.35/3</f>
        <v>0.11666666666666665</v>
      </c>
      <c r="C218" s="336" t="s">
        <v>437</v>
      </c>
      <c r="D218" s="336" t="s">
        <v>459</v>
      </c>
      <c r="E218" s="336"/>
      <c r="F218" s="338">
        <f>[2]Hardas!$E$114</f>
        <v>103980</v>
      </c>
      <c r="G218" s="338"/>
      <c r="H218" s="338">
        <f t="shared" si="3"/>
        <v>12130.999999999998</v>
      </c>
      <c r="I218" s="339"/>
    </row>
    <row r="219" spans="1:9" ht="13.5" customHeight="1">
      <c r="A219" s="334"/>
      <c r="B219" s="335">
        <f>2/3</f>
        <v>0.66666666666666663</v>
      </c>
      <c r="C219" s="336" t="s">
        <v>417</v>
      </c>
      <c r="D219" s="336" t="s">
        <v>418</v>
      </c>
      <c r="E219" s="336"/>
      <c r="F219" s="338">
        <f>[2]Hardas!$E$54</f>
        <v>21820</v>
      </c>
      <c r="G219" s="338"/>
      <c r="H219" s="338">
        <f t="shared" si="3"/>
        <v>14546.666666666666</v>
      </c>
      <c r="I219" s="339"/>
    </row>
    <row r="220" spans="1:9" ht="13.5" customHeight="1">
      <c r="A220" s="329"/>
      <c r="B220" s="330"/>
      <c r="C220" s="331"/>
      <c r="D220" s="331"/>
      <c r="E220" s="331" t="s">
        <v>410</v>
      </c>
      <c r="F220" s="332"/>
      <c r="G220" s="332"/>
      <c r="H220" s="332"/>
      <c r="I220" s="333">
        <f>SUM(H214:H220)</f>
        <v>67277.666666666672</v>
      </c>
    </row>
    <row r="221" spans="1:9" ht="13.5" customHeight="1">
      <c r="A221" s="334"/>
      <c r="B221" s="335"/>
      <c r="C221" s="336"/>
      <c r="D221" s="336"/>
      <c r="E221" s="336"/>
      <c r="F221" s="338"/>
      <c r="G221" s="338"/>
      <c r="H221" s="338"/>
      <c r="I221" s="339"/>
    </row>
    <row r="222" spans="1:9" ht="13.5" customHeight="1">
      <c r="A222" s="334"/>
      <c r="B222" s="335"/>
      <c r="C222" s="336"/>
      <c r="D222" s="336"/>
      <c r="E222" s="336"/>
      <c r="F222" s="338"/>
      <c r="G222" s="338"/>
      <c r="H222" s="338"/>
      <c r="I222" s="339"/>
    </row>
    <row r="223" spans="1:9" ht="13.5" customHeight="1">
      <c r="A223" s="334"/>
      <c r="B223" s="335"/>
      <c r="C223" s="336"/>
      <c r="D223" s="336"/>
      <c r="E223" s="336"/>
      <c r="F223" s="338"/>
      <c r="G223" s="338"/>
      <c r="H223" s="338"/>
      <c r="I223" s="339"/>
    </row>
    <row r="224" spans="1:9" ht="13.5" customHeight="1">
      <c r="A224" s="340"/>
      <c r="B224" s="330"/>
      <c r="C224" s="331"/>
      <c r="D224" s="331"/>
      <c r="E224" s="331" t="s">
        <v>411</v>
      </c>
      <c r="F224" s="332"/>
      <c r="G224" s="332"/>
      <c r="H224" s="332"/>
      <c r="I224" s="333"/>
    </row>
    <row r="225" spans="1:9" ht="13.5" customHeight="1">
      <c r="A225" s="340"/>
      <c r="B225" s="330"/>
      <c r="C225" s="331"/>
      <c r="D225" s="331" t="s">
        <v>412</v>
      </c>
      <c r="E225" s="331"/>
      <c r="F225" s="332"/>
      <c r="G225" s="332"/>
      <c r="H225" s="332"/>
      <c r="I225" s="333">
        <f>SUM(I208:I224)</f>
        <v>147764.66666666669</v>
      </c>
    </row>
    <row r="226" spans="1:9" ht="13.5" customHeight="1">
      <c r="A226" s="340"/>
      <c r="B226" s="330"/>
      <c r="C226" s="331"/>
      <c r="D226" s="331" t="s">
        <v>413</v>
      </c>
      <c r="E226" s="331"/>
      <c r="F226" s="332"/>
      <c r="G226" s="332"/>
      <c r="H226" s="332"/>
      <c r="I226" s="333">
        <f>I225*0.1</f>
        <v>14776.466666666669</v>
      </c>
    </row>
    <row r="227" spans="1:9" ht="13.5" customHeight="1">
      <c r="A227" s="340"/>
      <c r="B227" s="356"/>
      <c r="C227" s="357"/>
      <c r="D227" s="331" t="s">
        <v>414</v>
      </c>
      <c r="E227" s="357"/>
      <c r="F227" s="332"/>
      <c r="G227" s="332"/>
      <c r="H227" s="332"/>
      <c r="I227" s="333">
        <f>ROUNDDOWN(I226+I225,0)</f>
        <v>162541</v>
      </c>
    </row>
    <row r="228" spans="1:9" ht="13.5" customHeight="1">
      <c r="A228" s="374"/>
      <c r="B228" s="375" t="s">
        <v>456</v>
      </c>
      <c r="C228" s="363"/>
      <c r="D228" s="363"/>
      <c r="E228" s="363"/>
      <c r="F228" s="372"/>
      <c r="G228" s="372"/>
      <c r="H228" s="372"/>
      <c r="I228" s="365">
        <f>I227</f>
        <v>162541</v>
      </c>
    </row>
    <row r="229" spans="1:9" ht="13.5" customHeight="1" thickBot="1">
      <c r="A229" s="377"/>
      <c r="B229" s="378"/>
      <c r="C229" s="369"/>
      <c r="D229" s="369"/>
      <c r="E229" s="369"/>
      <c r="F229" s="373"/>
      <c r="G229" s="373"/>
      <c r="H229" s="373"/>
      <c r="I229" s="371"/>
    </row>
    <row r="230" spans="1:9" ht="13.5" customHeight="1" thickTop="1" thickBot="1">
      <c r="A230" s="492" t="s">
        <v>0</v>
      </c>
      <c r="B230" s="500" t="s">
        <v>397</v>
      </c>
      <c r="C230" s="493" t="s">
        <v>398</v>
      </c>
      <c r="D230" s="493" t="s">
        <v>1</v>
      </c>
      <c r="E230" s="494"/>
      <c r="F230" s="501" t="s">
        <v>399</v>
      </c>
      <c r="G230" s="501" t="s">
        <v>400</v>
      </c>
      <c r="H230" s="501" t="s">
        <v>401</v>
      </c>
      <c r="I230" s="502" t="s">
        <v>402</v>
      </c>
    </row>
    <row r="231" spans="1:9" ht="13.5" customHeight="1" thickTop="1">
      <c r="A231" s="351">
        <v>6</v>
      </c>
      <c r="B231" s="352" t="s">
        <v>460</v>
      </c>
      <c r="C231" s="353"/>
      <c r="D231" s="353"/>
      <c r="E231" s="353"/>
      <c r="F231" s="354"/>
      <c r="G231" s="354"/>
      <c r="H231" s="354"/>
      <c r="I231" s="355"/>
    </row>
    <row r="232" spans="1:9" ht="13.5" customHeight="1">
      <c r="A232" s="334"/>
      <c r="B232" s="335"/>
      <c r="C232" s="336"/>
      <c r="D232" s="336"/>
      <c r="E232" s="336"/>
      <c r="F232" s="338"/>
      <c r="G232" s="338"/>
      <c r="H232" s="338"/>
      <c r="I232" s="339"/>
    </row>
    <row r="233" spans="1:9" ht="13.5" customHeight="1">
      <c r="A233" s="334"/>
      <c r="B233" s="335">
        <v>3.3000000000000002E-2</v>
      </c>
      <c r="C233" s="336"/>
      <c r="D233" s="336" t="s">
        <v>3</v>
      </c>
      <c r="E233" s="336"/>
      <c r="F233" s="337">
        <f>F208</f>
        <v>100000</v>
      </c>
      <c r="G233" s="338">
        <f>F233*B233</f>
        <v>3300</v>
      </c>
      <c r="H233" s="338"/>
      <c r="I233" s="339"/>
    </row>
    <row r="234" spans="1:9" ht="13.5" customHeight="1">
      <c r="A234" s="334"/>
      <c r="B234" s="335">
        <v>3.3000000000000002E-2</v>
      </c>
      <c r="C234" s="336"/>
      <c r="D234" s="336" t="s">
        <v>4</v>
      </c>
      <c r="E234" s="336"/>
      <c r="F234" s="338">
        <f>F209</f>
        <v>99000</v>
      </c>
      <c r="G234" s="338">
        <f>F234*B234</f>
        <v>3267</v>
      </c>
      <c r="H234" s="338"/>
      <c r="I234" s="339"/>
    </row>
    <row r="235" spans="1:9" ht="13.5" customHeight="1">
      <c r="A235" s="334"/>
      <c r="B235" s="335">
        <v>0.33</v>
      </c>
      <c r="C235" s="336"/>
      <c r="D235" s="336" t="s">
        <v>5</v>
      </c>
      <c r="E235" s="336"/>
      <c r="F235" s="338">
        <f>F210</f>
        <v>82000</v>
      </c>
      <c r="G235" s="338">
        <f>F235*B235</f>
        <v>27060</v>
      </c>
      <c r="H235" s="338"/>
      <c r="I235" s="339"/>
    </row>
    <row r="236" spans="1:9" ht="13.5" customHeight="1">
      <c r="A236" s="334"/>
      <c r="B236" s="335">
        <v>0.66</v>
      </c>
      <c r="C236" s="336"/>
      <c r="D236" s="336" t="s">
        <v>6</v>
      </c>
      <c r="E236" s="336"/>
      <c r="F236" s="338">
        <f>F211</f>
        <v>71000</v>
      </c>
      <c r="G236" s="338">
        <f>F236*B236</f>
        <v>46860</v>
      </c>
      <c r="H236" s="338"/>
      <c r="I236" s="339"/>
    </row>
    <row r="237" spans="1:9" ht="13.5" customHeight="1">
      <c r="A237" s="329"/>
      <c r="B237" s="330"/>
      <c r="C237" s="331"/>
      <c r="D237" s="331"/>
      <c r="E237" s="331" t="s">
        <v>405</v>
      </c>
      <c r="F237" s="332"/>
      <c r="G237" s="332"/>
      <c r="H237" s="332"/>
      <c r="I237" s="333">
        <f>SUM(G233:G237)</f>
        <v>80487</v>
      </c>
    </row>
    <row r="238" spans="1:9" ht="13.5" customHeight="1">
      <c r="A238" s="334"/>
      <c r="B238" s="335"/>
      <c r="C238" s="336"/>
      <c r="D238" s="336"/>
      <c r="E238" s="336"/>
      <c r="F238" s="338"/>
      <c r="G238" s="338"/>
      <c r="H238" s="338"/>
      <c r="I238" s="339"/>
    </row>
    <row r="239" spans="1:9" ht="13.5" customHeight="1">
      <c r="A239" s="334"/>
      <c r="B239" s="335">
        <f>0.04/3</f>
        <v>1.3333333333333334E-2</v>
      </c>
      <c r="C239" s="336" t="s">
        <v>406</v>
      </c>
      <c r="D239" s="336" t="s">
        <v>454</v>
      </c>
      <c r="E239" s="336"/>
      <c r="F239" s="338">
        <f>[2]Hardas!$E$51</f>
        <v>1800000</v>
      </c>
      <c r="G239" s="338"/>
      <c r="H239" s="338">
        <f t="shared" ref="H239:H244" si="4">F239*B239</f>
        <v>24000</v>
      </c>
      <c r="I239" s="339"/>
    </row>
    <row r="240" spans="1:9" ht="13.5" customHeight="1">
      <c r="A240" s="334"/>
      <c r="B240" s="335">
        <v>0.4</v>
      </c>
      <c r="C240" s="336" t="s">
        <v>7</v>
      </c>
      <c r="D240" s="336" t="s">
        <v>14</v>
      </c>
      <c r="E240" s="336"/>
      <c r="F240" s="338">
        <f>[2]Hardas!$E$60</f>
        <v>10500</v>
      </c>
      <c r="G240" s="338"/>
      <c r="H240" s="338">
        <f t="shared" si="4"/>
        <v>4200</v>
      </c>
      <c r="I240" s="339"/>
    </row>
    <row r="241" spans="1:9" ht="13.5" customHeight="1">
      <c r="A241" s="334"/>
      <c r="B241" s="335">
        <v>0.2</v>
      </c>
      <c r="C241" s="336" t="s">
        <v>455</v>
      </c>
      <c r="D241" s="336" t="s">
        <v>15</v>
      </c>
      <c r="E241" s="336"/>
      <c r="F241" s="338">
        <f>[2]Hardas!$E$83</f>
        <v>5000</v>
      </c>
      <c r="G241" s="338"/>
      <c r="H241" s="338">
        <f t="shared" si="4"/>
        <v>1000</v>
      </c>
      <c r="I241" s="339"/>
    </row>
    <row r="242" spans="1:9" ht="13.5" customHeight="1">
      <c r="A242" s="334"/>
      <c r="B242" s="335">
        <f>0.018/3</f>
        <v>5.9999999999999993E-3</v>
      </c>
      <c r="C242" s="336" t="s">
        <v>406</v>
      </c>
      <c r="D242" s="336" t="s">
        <v>458</v>
      </c>
      <c r="E242" s="336"/>
      <c r="F242" s="338">
        <f>[2]Hardas!$E$51</f>
        <v>1800000</v>
      </c>
      <c r="G242" s="338"/>
      <c r="H242" s="338">
        <f t="shared" si="4"/>
        <v>10799.999999999998</v>
      </c>
      <c r="I242" s="339"/>
    </row>
    <row r="243" spans="1:9" ht="13.5" customHeight="1">
      <c r="A243" s="334"/>
      <c r="B243" s="335">
        <f>0.35/3</f>
        <v>0.11666666666666665</v>
      </c>
      <c r="C243" s="336" t="s">
        <v>437</v>
      </c>
      <c r="D243" s="336" t="s">
        <v>459</v>
      </c>
      <c r="E243" s="336"/>
      <c r="F243" s="338">
        <f>[2]Hardas!$E$114</f>
        <v>103980</v>
      </c>
      <c r="G243" s="338"/>
      <c r="H243" s="338">
        <f t="shared" si="4"/>
        <v>12130.999999999998</v>
      </c>
      <c r="I243" s="339"/>
    </row>
    <row r="244" spans="1:9" ht="13.5" customHeight="1">
      <c r="A244" s="334"/>
      <c r="B244" s="335">
        <f>2/3</f>
        <v>0.66666666666666663</v>
      </c>
      <c r="C244" s="336" t="s">
        <v>417</v>
      </c>
      <c r="D244" s="336" t="s">
        <v>418</v>
      </c>
      <c r="E244" s="336"/>
      <c r="F244" s="338">
        <f>[2]Hardas!$E$54</f>
        <v>21820</v>
      </c>
      <c r="G244" s="338"/>
      <c r="H244" s="338">
        <f t="shared" si="4"/>
        <v>14546.666666666666</v>
      </c>
      <c r="I244" s="339"/>
    </row>
    <row r="245" spans="1:9" ht="13.5" customHeight="1">
      <c r="A245" s="329"/>
      <c r="B245" s="330"/>
      <c r="C245" s="331"/>
      <c r="D245" s="331"/>
      <c r="E245" s="331" t="s">
        <v>410</v>
      </c>
      <c r="F245" s="332"/>
      <c r="G245" s="332"/>
      <c r="H245" s="332"/>
      <c r="I245" s="333">
        <f>SUM(H239:H245)</f>
        <v>66677.666666666672</v>
      </c>
    </row>
    <row r="246" spans="1:9" ht="13.5" customHeight="1">
      <c r="A246" s="334"/>
      <c r="B246" s="335"/>
      <c r="C246" s="336"/>
      <c r="D246" s="336"/>
      <c r="E246" s="336"/>
      <c r="F246" s="338"/>
      <c r="G246" s="338"/>
      <c r="H246" s="338"/>
      <c r="I246" s="339"/>
    </row>
    <row r="247" spans="1:9" ht="13.5" customHeight="1">
      <c r="A247" s="334"/>
      <c r="B247" s="335"/>
      <c r="C247" s="336"/>
      <c r="D247" s="336"/>
      <c r="E247" s="336"/>
      <c r="F247" s="338"/>
      <c r="G247" s="338"/>
      <c r="H247" s="338"/>
      <c r="I247" s="339"/>
    </row>
    <row r="248" spans="1:9" ht="13.5" customHeight="1">
      <c r="A248" s="334"/>
      <c r="B248" s="335"/>
      <c r="C248" s="336"/>
      <c r="D248" s="336"/>
      <c r="E248" s="336"/>
      <c r="F248" s="338"/>
      <c r="G248" s="338"/>
      <c r="H248" s="338"/>
      <c r="I248" s="339"/>
    </row>
    <row r="249" spans="1:9" ht="13.5" customHeight="1">
      <c r="A249" s="340"/>
      <c r="B249" s="330"/>
      <c r="C249" s="331"/>
      <c r="D249" s="331"/>
      <c r="E249" s="331" t="s">
        <v>411</v>
      </c>
      <c r="F249" s="332"/>
      <c r="G249" s="332"/>
      <c r="H249" s="332"/>
      <c r="I249" s="333"/>
    </row>
    <row r="250" spans="1:9" ht="13.5" customHeight="1">
      <c r="A250" s="340"/>
      <c r="B250" s="330"/>
      <c r="C250" s="331"/>
      <c r="D250" s="331" t="s">
        <v>412</v>
      </c>
      <c r="E250" s="331"/>
      <c r="F250" s="332"/>
      <c r="G250" s="332"/>
      <c r="H250" s="332"/>
      <c r="I250" s="333">
        <f>SUM(I233:I249)</f>
        <v>147164.66666666669</v>
      </c>
    </row>
    <row r="251" spans="1:9" ht="13.5" customHeight="1">
      <c r="A251" s="340"/>
      <c r="B251" s="330"/>
      <c r="C251" s="331"/>
      <c r="D251" s="331" t="s">
        <v>413</v>
      </c>
      <c r="E251" s="331"/>
      <c r="F251" s="332"/>
      <c r="G251" s="332"/>
      <c r="H251" s="332"/>
      <c r="I251" s="333">
        <f>I250*0.1</f>
        <v>14716.466666666669</v>
      </c>
    </row>
    <row r="252" spans="1:9" ht="13.5" customHeight="1">
      <c r="A252" s="340"/>
      <c r="B252" s="356"/>
      <c r="C252" s="357"/>
      <c r="D252" s="331" t="s">
        <v>414</v>
      </c>
      <c r="E252" s="357"/>
      <c r="F252" s="332"/>
      <c r="G252" s="332"/>
      <c r="H252" s="332"/>
      <c r="I252" s="333">
        <f>ROUNDDOWN(I251+I250,0)</f>
        <v>161881</v>
      </c>
    </row>
    <row r="253" spans="1:9" ht="13.5" customHeight="1">
      <c r="A253" s="374"/>
      <c r="B253" s="375" t="s">
        <v>456</v>
      </c>
      <c r="C253" s="363"/>
      <c r="D253" s="363"/>
      <c r="E253" s="363"/>
      <c r="F253" s="372"/>
      <c r="G253" s="372"/>
      <c r="H253" s="372"/>
      <c r="I253" s="365">
        <f>I252</f>
        <v>161881</v>
      </c>
    </row>
    <row r="254" spans="1:9" ht="13.5" customHeight="1" thickBot="1">
      <c r="A254" s="377"/>
      <c r="B254" s="378"/>
      <c r="C254" s="369"/>
      <c r="D254" s="369"/>
      <c r="E254" s="369"/>
      <c r="F254" s="373"/>
      <c r="G254" s="373"/>
      <c r="H254" s="373"/>
      <c r="I254" s="371"/>
    </row>
    <row r="255" spans="1:9" ht="13.5" customHeight="1" thickTop="1" thickBot="1">
      <c r="A255" s="492" t="s">
        <v>0</v>
      </c>
      <c r="B255" s="500" t="s">
        <v>397</v>
      </c>
      <c r="C255" s="493" t="s">
        <v>398</v>
      </c>
      <c r="D255" s="493" t="s">
        <v>1</v>
      </c>
      <c r="E255" s="494"/>
      <c r="F255" s="501" t="s">
        <v>399</v>
      </c>
      <c r="G255" s="501" t="s">
        <v>400</v>
      </c>
      <c r="H255" s="501" t="s">
        <v>401</v>
      </c>
      <c r="I255" s="502" t="s">
        <v>402</v>
      </c>
    </row>
    <row r="256" spans="1:9" ht="13.5" thickTop="1">
      <c r="A256" s="351">
        <v>7</v>
      </c>
      <c r="B256" s="352" t="s">
        <v>586</v>
      </c>
      <c r="C256" s="353"/>
      <c r="D256" s="353"/>
      <c r="E256" s="353"/>
      <c r="F256" s="354"/>
      <c r="G256" s="354"/>
      <c r="H256" s="354"/>
      <c r="I256" s="355"/>
    </row>
    <row r="257" spans="1:9">
      <c r="A257" s="334"/>
      <c r="B257" s="335"/>
      <c r="C257" s="336"/>
      <c r="D257" s="336"/>
      <c r="E257" s="336"/>
      <c r="F257" s="338"/>
      <c r="G257" s="338"/>
      <c r="H257" s="338"/>
      <c r="I257" s="339"/>
    </row>
    <row r="258" spans="1:9">
      <c r="A258" s="334"/>
      <c r="B258" s="335">
        <v>3.3000000000000002E-2</v>
      </c>
      <c r="C258" s="336"/>
      <c r="D258" s="336" t="s">
        <v>3</v>
      </c>
      <c r="E258" s="336"/>
      <c r="F258" s="337">
        <f>F233</f>
        <v>100000</v>
      </c>
      <c r="G258" s="338">
        <f>F258*B258</f>
        <v>3300</v>
      </c>
      <c r="H258" s="338"/>
      <c r="I258" s="339"/>
    </row>
    <row r="259" spans="1:9">
      <c r="A259" s="334"/>
      <c r="B259" s="335">
        <v>3.3000000000000002E-2</v>
      </c>
      <c r="C259" s="336"/>
      <c r="D259" s="336" t="s">
        <v>4</v>
      </c>
      <c r="E259" s="336"/>
      <c r="F259" s="338">
        <f>F234</f>
        <v>99000</v>
      </c>
      <c r="G259" s="338">
        <f>F259*B259</f>
        <v>3267</v>
      </c>
      <c r="H259" s="338"/>
      <c r="I259" s="339"/>
    </row>
    <row r="260" spans="1:9">
      <c r="A260" s="334"/>
      <c r="B260" s="335">
        <v>0.33</v>
      </c>
      <c r="C260" s="336"/>
      <c r="D260" s="336" t="s">
        <v>5</v>
      </c>
      <c r="E260" s="336"/>
      <c r="F260" s="338">
        <f>F235</f>
        <v>82000</v>
      </c>
      <c r="G260" s="338">
        <f>F260*B260</f>
        <v>27060</v>
      </c>
      <c r="H260" s="338"/>
      <c r="I260" s="339"/>
    </row>
    <row r="261" spans="1:9">
      <c r="A261" s="334"/>
      <c r="B261" s="335">
        <v>0.66</v>
      </c>
      <c r="C261" s="336"/>
      <c r="D261" s="336" t="s">
        <v>6</v>
      </c>
      <c r="E261" s="336"/>
      <c r="F261" s="338">
        <f>F236</f>
        <v>71000</v>
      </c>
      <c r="G261" s="338">
        <f>F261*B261</f>
        <v>46860</v>
      </c>
      <c r="H261" s="338"/>
      <c r="I261" s="339"/>
    </row>
    <row r="262" spans="1:9">
      <c r="A262" s="329"/>
      <c r="B262" s="330"/>
      <c r="C262" s="331"/>
      <c r="D262" s="331"/>
      <c r="E262" s="331" t="s">
        <v>405</v>
      </c>
      <c r="F262" s="332"/>
      <c r="G262" s="332"/>
      <c r="H262" s="332"/>
      <c r="I262" s="333">
        <f>SUM(G258:G262)</f>
        <v>80487</v>
      </c>
    </row>
    <row r="263" spans="1:9">
      <c r="A263" s="334"/>
      <c r="B263" s="335"/>
      <c r="C263" s="336"/>
      <c r="D263" s="336"/>
      <c r="E263" s="336"/>
      <c r="F263" s="338"/>
      <c r="G263" s="338"/>
      <c r="H263" s="338"/>
      <c r="I263" s="339"/>
    </row>
    <row r="264" spans="1:9">
      <c r="A264" s="334"/>
      <c r="B264" s="335">
        <f>0.042/3</f>
        <v>1.4E-2</v>
      </c>
      <c r="C264" s="336" t="s">
        <v>406</v>
      </c>
      <c r="D264" s="336" t="s">
        <v>454</v>
      </c>
      <c r="E264" s="336"/>
      <c r="F264" s="338">
        <f>[2]Hardas!$E$51</f>
        <v>1800000</v>
      </c>
      <c r="G264" s="338"/>
      <c r="H264" s="338">
        <f t="shared" ref="H264:H269" si="5">F264*B264</f>
        <v>25200</v>
      </c>
      <c r="I264" s="339"/>
    </row>
    <row r="265" spans="1:9">
      <c r="A265" s="334"/>
      <c r="B265" s="335">
        <v>0.499</v>
      </c>
      <c r="C265" s="336" t="s">
        <v>7</v>
      </c>
      <c r="D265" s="336" t="s">
        <v>14</v>
      </c>
      <c r="E265" s="336"/>
      <c r="F265" s="338">
        <f>[2]Hardas!$E$60</f>
        <v>10500</v>
      </c>
      <c r="G265" s="338"/>
      <c r="H265" s="338">
        <f t="shared" si="5"/>
        <v>5239.5</v>
      </c>
      <c r="I265" s="339"/>
    </row>
    <row r="266" spans="1:9">
      <c r="A266" s="334"/>
      <c r="B266" s="335">
        <v>0.2</v>
      </c>
      <c r="C266" s="336" t="s">
        <v>455</v>
      </c>
      <c r="D266" s="336" t="s">
        <v>15</v>
      </c>
      <c r="E266" s="336"/>
      <c r="F266" s="338">
        <f>[2]Hardas!$E$83</f>
        <v>5000</v>
      </c>
      <c r="G266" s="338"/>
      <c r="H266" s="338">
        <f t="shared" si="5"/>
        <v>1000</v>
      </c>
      <c r="I266" s="339"/>
    </row>
    <row r="267" spans="1:9">
      <c r="A267" s="334"/>
      <c r="B267" s="335">
        <f>0.015/3</f>
        <v>5.0000000000000001E-3</v>
      </c>
      <c r="C267" s="336" t="s">
        <v>406</v>
      </c>
      <c r="D267" s="336" t="s">
        <v>458</v>
      </c>
      <c r="E267" s="336"/>
      <c r="F267" s="338">
        <f>[2]Hardas!$E$51</f>
        <v>1800000</v>
      </c>
      <c r="G267" s="338"/>
      <c r="H267" s="338">
        <f t="shared" si="5"/>
        <v>9000</v>
      </c>
      <c r="I267" s="339"/>
    </row>
    <row r="268" spans="1:9">
      <c r="A268" s="334"/>
      <c r="B268" s="335">
        <f>0.35/3</f>
        <v>0.11666666666666665</v>
      </c>
      <c r="C268" s="336" t="s">
        <v>437</v>
      </c>
      <c r="D268" s="336" t="s">
        <v>459</v>
      </c>
      <c r="E268" s="336"/>
      <c r="F268" s="338">
        <f>[2]Hardas!$E$114</f>
        <v>103980</v>
      </c>
      <c r="G268" s="338"/>
      <c r="H268" s="338">
        <f t="shared" si="5"/>
        <v>12130.999999999998</v>
      </c>
      <c r="I268" s="339"/>
    </row>
    <row r="269" spans="1:9">
      <c r="A269" s="334"/>
      <c r="B269" s="335">
        <f>6/3/2</f>
        <v>1</v>
      </c>
      <c r="C269" s="336" t="s">
        <v>417</v>
      </c>
      <c r="D269" s="336" t="s">
        <v>418</v>
      </c>
      <c r="E269" s="336"/>
      <c r="F269" s="338">
        <f>[2]Hardas!$E$54</f>
        <v>21820</v>
      </c>
      <c r="G269" s="338"/>
      <c r="H269" s="338">
        <f t="shared" si="5"/>
        <v>21820</v>
      </c>
      <c r="I269" s="339"/>
    </row>
    <row r="270" spans="1:9">
      <c r="A270" s="329"/>
      <c r="B270" s="330"/>
      <c r="C270" s="331"/>
      <c r="D270" s="331"/>
      <c r="E270" s="331" t="s">
        <v>410</v>
      </c>
      <c r="F270" s="332"/>
      <c r="G270" s="332"/>
      <c r="H270" s="332"/>
      <c r="I270" s="333">
        <f>SUM(H264:H270)</f>
        <v>74390.5</v>
      </c>
    </row>
    <row r="271" spans="1:9">
      <c r="A271" s="334"/>
      <c r="B271" s="335"/>
      <c r="C271" s="336"/>
      <c r="D271" s="336"/>
      <c r="E271" s="336"/>
      <c r="F271" s="338"/>
      <c r="G271" s="338"/>
      <c r="H271" s="338"/>
      <c r="I271" s="339"/>
    </row>
    <row r="272" spans="1:9">
      <c r="A272" s="334"/>
      <c r="B272" s="335"/>
      <c r="C272" s="336"/>
      <c r="D272" s="336"/>
      <c r="E272" s="336"/>
      <c r="F272" s="338"/>
      <c r="G272" s="338"/>
      <c r="H272" s="338"/>
      <c r="I272" s="339"/>
    </row>
    <row r="273" spans="1:9">
      <c r="A273" s="334"/>
      <c r="B273" s="335"/>
      <c r="C273" s="336"/>
      <c r="D273" s="336"/>
      <c r="E273" s="336"/>
      <c r="F273" s="338"/>
      <c r="G273" s="338"/>
      <c r="H273" s="338"/>
      <c r="I273" s="339"/>
    </row>
    <row r="274" spans="1:9">
      <c r="A274" s="340"/>
      <c r="B274" s="330"/>
      <c r="C274" s="331"/>
      <c r="D274" s="331"/>
      <c r="E274" s="331" t="s">
        <v>411</v>
      </c>
      <c r="F274" s="332"/>
      <c r="G274" s="332"/>
      <c r="H274" s="332"/>
      <c r="I274" s="333"/>
    </row>
    <row r="275" spans="1:9">
      <c r="A275" s="340"/>
      <c r="B275" s="330"/>
      <c r="C275" s="331"/>
      <c r="D275" s="331" t="s">
        <v>412</v>
      </c>
      <c r="E275" s="331"/>
      <c r="F275" s="332"/>
      <c r="G275" s="332"/>
      <c r="H275" s="332"/>
      <c r="I275" s="333">
        <f>SUM(I258:I274)</f>
        <v>154877.5</v>
      </c>
    </row>
    <row r="276" spans="1:9">
      <c r="A276" s="340"/>
      <c r="B276" s="330"/>
      <c r="C276" s="331"/>
      <c r="D276" s="331" t="s">
        <v>413</v>
      </c>
      <c r="E276" s="331"/>
      <c r="F276" s="332"/>
      <c r="G276" s="332"/>
      <c r="H276" s="332"/>
      <c r="I276" s="333">
        <f>I275*0.1</f>
        <v>15487.75</v>
      </c>
    </row>
    <row r="277" spans="1:9">
      <c r="A277" s="340"/>
      <c r="B277" s="356"/>
      <c r="C277" s="357"/>
      <c r="D277" s="331" t="s">
        <v>414</v>
      </c>
      <c r="E277" s="357"/>
      <c r="F277" s="332"/>
      <c r="G277" s="332"/>
      <c r="H277" s="332"/>
      <c r="I277" s="333">
        <f>ROUNDDOWN(I276+I275,0)</f>
        <v>170365</v>
      </c>
    </row>
    <row r="278" spans="1:9">
      <c r="A278" s="374"/>
      <c r="B278" s="375" t="s">
        <v>456</v>
      </c>
      <c r="C278" s="363"/>
      <c r="D278" s="363"/>
      <c r="E278" s="363"/>
      <c r="F278" s="372"/>
      <c r="G278" s="372"/>
      <c r="H278" s="372"/>
      <c r="I278" s="365">
        <f>I277</f>
        <v>170365</v>
      </c>
    </row>
    <row r="279" spans="1:9" ht="13.5" thickBot="1">
      <c r="A279" s="377"/>
      <c r="B279" s="378"/>
      <c r="C279" s="369"/>
      <c r="D279" s="369"/>
      <c r="E279" s="369"/>
      <c r="F279" s="373"/>
      <c r="G279" s="373"/>
      <c r="H279" s="373"/>
      <c r="I279" s="371"/>
    </row>
    <row r="280" spans="1:9" ht="14.25" thickTop="1" thickBot="1">
      <c r="A280" s="492" t="s">
        <v>0</v>
      </c>
      <c r="B280" s="500" t="s">
        <v>397</v>
      </c>
      <c r="C280" s="493" t="s">
        <v>398</v>
      </c>
      <c r="D280" s="493" t="s">
        <v>1</v>
      </c>
      <c r="E280" s="494"/>
      <c r="F280" s="501" t="s">
        <v>399</v>
      </c>
      <c r="G280" s="501" t="s">
        <v>400</v>
      </c>
      <c r="H280" s="501" t="s">
        <v>401</v>
      </c>
      <c r="I280" s="502" t="s">
        <v>402</v>
      </c>
    </row>
    <row r="281" spans="1:9" ht="13.5" thickTop="1">
      <c r="A281" s="351">
        <v>8</v>
      </c>
      <c r="B281" s="352" t="s">
        <v>587</v>
      </c>
      <c r="C281" s="353"/>
      <c r="D281" s="353"/>
      <c r="E281" s="353"/>
      <c r="F281" s="354"/>
      <c r="G281" s="354"/>
      <c r="H281" s="354"/>
      <c r="I281" s="355"/>
    </row>
    <row r="282" spans="1:9">
      <c r="A282" s="334"/>
      <c r="B282" s="335"/>
      <c r="C282" s="336"/>
      <c r="D282" s="336"/>
      <c r="E282" s="336"/>
      <c r="F282" s="338"/>
      <c r="G282" s="338"/>
      <c r="H282" s="338"/>
      <c r="I282" s="339"/>
    </row>
    <row r="283" spans="1:9">
      <c r="A283" s="334"/>
      <c r="B283" s="335">
        <v>3.3000000000000002E-2</v>
      </c>
      <c r="C283" s="336"/>
      <c r="D283" s="336" t="s">
        <v>3</v>
      </c>
      <c r="E283" s="336"/>
      <c r="F283" s="337">
        <f>F258</f>
        <v>100000</v>
      </c>
      <c r="G283" s="338">
        <f>F283*B283</f>
        <v>3300</v>
      </c>
      <c r="H283" s="338"/>
      <c r="I283" s="339"/>
    </row>
    <row r="284" spans="1:9">
      <c r="A284" s="334"/>
      <c r="B284" s="335">
        <v>3.3000000000000002E-2</v>
      </c>
      <c r="C284" s="336"/>
      <c r="D284" s="336" t="s">
        <v>4</v>
      </c>
      <c r="E284" s="336"/>
      <c r="F284" s="338">
        <f>F259</f>
        <v>99000</v>
      </c>
      <c r="G284" s="338">
        <f>F284*B284</f>
        <v>3267</v>
      </c>
      <c r="H284" s="338"/>
      <c r="I284" s="339"/>
    </row>
    <row r="285" spans="1:9">
      <c r="A285" s="334"/>
      <c r="B285" s="335">
        <v>0.33</v>
      </c>
      <c r="C285" s="336"/>
      <c r="D285" s="336" t="s">
        <v>5</v>
      </c>
      <c r="E285" s="336"/>
      <c r="F285" s="338">
        <f>F260</f>
        <v>82000</v>
      </c>
      <c r="G285" s="338">
        <f>F285*B285</f>
        <v>27060</v>
      </c>
      <c r="H285" s="338"/>
      <c r="I285" s="339"/>
    </row>
    <row r="286" spans="1:9">
      <c r="A286" s="334"/>
      <c r="B286" s="335">
        <v>0.66</v>
      </c>
      <c r="C286" s="336"/>
      <c r="D286" s="336" t="s">
        <v>6</v>
      </c>
      <c r="E286" s="336"/>
      <c r="F286" s="338">
        <f>F261</f>
        <v>71000</v>
      </c>
      <c r="G286" s="338">
        <f>F286*B286</f>
        <v>46860</v>
      </c>
      <c r="H286" s="338"/>
      <c r="I286" s="339"/>
    </row>
    <row r="287" spans="1:9">
      <c r="A287" s="329"/>
      <c r="B287" s="330"/>
      <c r="C287" s="331"/>
      <c r="D287" s="331"/>
      <c r="E287" s="331" t="s">
        <v>405</v>
      </c>
      <c r="F287" s="332"/>
      <c r="G287" s="332"/>
      <c r="H287" s="332"/>
      <c r="I287" s="333">
        <f>SUM(G283:G287)</f>
        <v>80487</v>
      </c>
    </row>
    <row r="288" spans="1:9">
      <c r="A288" s="334"/>
      <c r="B288" s="335"/>
      <c r="C288" s="336"/>
      <c r="D288" s="336"/>
      <c r="E288" s="336"/>
      <c r="F288" s="338"/>
      <c r="G288" s="338"/>
      <c r="H288" s="338"/>
      <c r="I288" s="339"/>
    </row>
    <row r="289" spans="1:9">
      <c r="A289" s="334"/>
      <c r="B289" s="335">
        <f>'[3]Analisa Harga'!$D$404</f>
        <v>1.4999999999999999E-2</v>
      </c>
      <c r="C289" s="336" t="s">
        <v>406</v>
      </c>
      <c r="D289" s="336" t="s">
        <v>454</v>
      </c>
      <c r="E289" s="336"/>
      <c r="F289" s="338">
        <f>[2]Hardas!$E$51</f>
        <v>1800000</v>
      </c>
      <c r="G289" s="338"/>
      <c r="H289" s="338">
        <f t="shared" ref="H289:H294" si="6">F289*B289</f>
        <v>27000</v>
      </c>
      <c r="I289" s="339"/>
    </row>
    <row r="290" spans="1:9">
      <c r="A290" s="334"/>
      <c r="B290" s="335">
        <f>'[3]Analisa Harga'!$D$402</f>
        <v>0.4</v>
      </c>
      <c r="C290" s="336" t="s">
        <v>7</v>
      </c>
      <c r="D290" s="336" t="s">
        <v>14</v>
      </c>
      <c r="E290" s="336"/>
      <c r="F290" s="338">
        <f>[2]Hardas!$E$60</f>
        <v>10500</v>
      </c>
      <c r="G290" s="338"/>
      <c r="H290" s="338">
        <f t="shared" si="6"/>
        <v>4200</v>
      </c>
      <c r="I290" s="339"/>
    </row>
    <row r="291" spans="1:9">
      <c r="A291" s="334"/>
      <c r="B291" s="335">
        <f>'[3]Analisa Harga'!$D$403</f>
        <v>0.15</v>
      </c>
      <c r="C291" s="336" t="s">
        <v>455</v>
      </c>
      <c r="D291" s="336" t="s">
        <v>15</v>
      </c>
      <c r="E291" s="336"/>
      <c r="F291" s="338">
        <f>[2]Hardas!$E$83</f>
        <v>5000</v>
      </c>
      <c r="G291" s="338"/>
      <c r="H291" s="338">
        <f t="shared" si="6"/>
        <v>750</v>
      </c>
      <c r="I291" s="339"/>
    </row>
    <row r="292" spans="1:9">
      <c r="A292" s="334"/>
      <c r="B292" s="335">
        <f>'[3]Analisa Harga'!$D$405</f>
        <v>0.03</v>
      </c>
      <c r="C292" s="336" t="s">
        <v>406</v>
      </c>
      <c r="D292" s="336" t="s">
        <v>458</v>
      </c>
      <c r="E292" s="336"/>
      <c r="F292" s="338">
        <f>[2]Hardas!$E$51</f>
        <v>1800000</v>
      </c>
      <c r="G292" s="338"/>
      <c r="H292" s="338">
        <f t="shared" si="6"/>
        <v>54000</v>
      </c>
      <c r="I292" s="339"/>
    </row>
    <row r="293" spans="1:9">
      <c r="A293" s="334"/>
      <c r="B293" s="335">
        <f>'[3]Analisa Harga'!$D$407</f>
        <v>0.35</v>
      </c>
      <c r="C293" s="336" t="s">
        <v>437</v>
      </c>
      <c r="D293" s="336" t="s">
        <v>459</v>
      </c>
      <c r="E293" s="336"/>
      <c r="F293" s="338">
        <f>[2]Hardas!$E$114</f>
        <v>103980</v>
      </c>
      <c r="G293" s="338"/>
      <c r="H293" s="338">
        <f t="shared" si="6"/>
        <v>36393</v>
      </c>
      <c r="I293" s="339"/>
    </row>
    <row r="294" spans="1:9">
      <c r="A294" s="334"/>
      <c r="B294" s="335">
        <f>'[3]Analisa Harga'!$D$406</f>
        <v>2</v>
      </c>
      <c r="C294" s="336" t="s">
        <v>417</v>
      </c>
      <c r="D294" s="336" t="s">
        <v>418</v>
      </c>
      <c r="E294" s="336"/>
      <c r="F294" s="338">
        <f>[2]Hardas!$E$54</f>
        <v>21820</v>
      </c>
      <c r="G294" s="338"/>
      <c r="H294" s="338">
        <f t="shared" si="6"/>
        <v>43640</v>
      </c>
      <c r="I294" s="339"/>
    </row>
    <row r="295" spans="1:9">
      <c r="A295" s="329"/>
      <c r="B295" s="330"/>
      <c r="C295" s="331"/>
      <c r="D295" s="331"/>
      <c r="E295" s="331" t="s">
        <v>410</v>
      </c>
      <c r="F295" s="332"/>
      <c r="G295" s="332"/>
      <c r="H295" s="332"/>
      <c r="I295" s="333">
        <f>SUM(H289:H295)</f>
        <v>165983</v>
      </c>
    </row>
    <row r="296" spans="1:9">
      <c r="A296" s="334"/>
      <c r="B296" s="335"/>
      <c r="C296" s="336"/>
      <c r="D296" s="336"/>
      <c r="E296" s="336"/>
      <c r="F296" s="338"/>
      <c r="G296" s="338"/>
      <c r="H296" s="338"/>
      <c r="I296" s="339"/>
    </row>
    <row r="297" spans="1:9">
      <c r="A297" s="334"/>
      <c r="B297" s="335"/>
      <c r="C297" s="336"/>
      <c r="D297" s="336"/>
      <c r="E297" s="336"/>
      <c r="F297" s="338"/>
      <c r="G297" s="338"/>
      <c r="H297" s="338"/>
      <c r="I297" s="339"/>
    </row>
    <row r="298" spans="1:9">
      <c r="A298" s="334"/>
      <c r="B298" s="335"/>
      <c r="C298" s="336"/>
      <c r="D298" s="336"/>
      <c r="E298" s="336"/>
      <c r="F298" s="338"/>
      <c r="G298" s="338"/>
      <c r="H298" s="338"/>
      <c r="I298" s="339"/>
    </row>
    <row r="299" spans="1:9">
      <c r="A299" s="340"/>
      <c r="B299" s="330"/>
      <c r="C299" s="331"/>
      <c r="D299" s="331"/>
      <c r="E299" s="331" t="s">
        <v>411</v>
      </c>
      <c r="F299" s="332"/>
      <c r="G299" s="332"/>
      <c r="H299" s="332"/>
      <c r="I299" s="333"/>
    </row>
    <row r="300" spans="1:9">
      <c r="A300" s="340"/>
      <c r="B300" s="330"/>
      <c r="C300" s="331"/>
      <c r="D300" s="331" t="s">
        <v>412</v>
      </c>
      <c r="E300" s="331"/>
      <c r="F300" s="332"/>
      <c r="G300" s="332"/>
      <c r="H300" s="332"/>
      <c r="I300" s="333">
        <f>SUM(I283:I299)</f>
        <v>246470</v>
      </c>
    </row>
    <row r="301" spans="1:9">
      <c r="A301" s="340"/>
      <c r="B301" s="330"/>
      <c r="C301" s="331"/>
      <c r="D301" s="331" t="s">
        <v>413</v>
      </c>
      <c r="E301" s="331"/>
      <c r="F301" s="332"/>
      <c r="G301" s="332"/>
      <c r="H301" s="332"/>
      <c r="I301" s="333">
        <f>I300*0.1</f>
        <v>24647</v>
      </c>
    </row>
    <row r="302" spans="1:9">
      <c r="A302" s="340"/>
      <c r="B302" s="356"/>
      <c r="C302" s="357"/>
      <c r="D302" s="331" t="s">
        <v>414</v>
      </c>
      <c r="E302" s="357"/>
      <c r="F302" s="332"/>
      <c r="G302" s="332"/>
      <c r="H302" s="332"/>
      <c r="I302" s="333">
        <f>ROUNDDOWN(I301+I300,0)</f>
        <v>271117</v>
      </c>
    </row>
    <row r="303" spans="1:9">
      <c r="A303" s="374"/>
      <c r="B303" s="375" t="s">
        <v>456</v>
      </c>
      <c r="C303" s="363"/>
      <c r="D303" s="363"/>
      <c r="E303" s="363"/>
      <c r="F303" s="372"/>
      <c r="G303" s="372"/>
      <c r="H303" s="372"/>
      <c r="I303" s="365">
        <f>I302</f>
        <v>271117</v>
      </c>
    </row>
    <row r="304" spans="1:9" ht="13.5" thickBot="1">
      <c r="A304" s="377"/>
      <c r="B304" s="378"/>
      <c r="C304" s="369"/>
      <c r="D304" s="369"/>
      <c r="E304" s="369"/>
      <c r="F304" s="373"/>
      <c r="G304" s="373"/>
      <c r="H304" s="373"/>
      <c r="I304" s="371"/>
    </row>
    <row r="305" spans="1:9" ht="14.25" thickTop="1" thickBot="1">
      <c r="A305" s="492" t="s">
        <v>0</v>
      </c>
      <c r="B305" s="500" t="s">
        <v>397</v>
      </c>
      <c r="C305" s="493" t="s">
        <v>398</v>
      </c>
      <c r="D305" s="493" t="s">
        <v>1</v>
      </c>
      <c r="E305" s="494"/>
      <c r="F305" s="501" t="s">
        <v>399</v>
      </c>
      <c r="G305" s="501" t="s">
        <v>400</v>
      </c>
      <c r="H305" s="501" t="s">
        <v>401</v>
      </c>
      <c r="I305" s="502" t="s">
        <v>402</v>
      </c>
    </row>
    <row r="306" spans="1:9" ht="13.5" thickTop="1">
      <c r="A306" s="351">
        <v>9</v>
      </c>
      <c r="B306" s="352" t="s">
        <v>461</v>
      </c>
      <c r="C306" s="353"/>
      <c r="D306" s="353"/>
      <c r="E306" s="353"/>
      <c r="F306" s="354"/>
      <c r="G306" s="354"/>
      <c r="H306" s="354"/>
      <c r="I306" s="355"/>
    </row>
    <row r="307" spans="1:9">
      <c r="A307" s="334"/>
      <c r="B307" s="335"/>
      <c r="C307" s="336"/>
      <c r="D307" s="336"/>
      <c r="E307" s="336"/>
      <c r="F307" s="338"/>
      <c r="G307" s="338"/>
      <c r="H307" s="338"/>
      <c r="I307" s="339"/>
    </row>
    <row r="308" spans="1:9">
      <c r="A308" s="334"/>
      <c r="B308" s="335">
        <v>8.3000000000000004E-2</v>
      </c>
      <c r="C308" s="336"/>
      <c r="D308" s="336" t="s">
        <v>3</v>
      </c>
      <c r="E308" s="336"/>
      <c r="F308" s="337">
        <f>F283</f>
        <v>100000</v>
      </c>
      <c r="G308" s="338">
        <f>F308*B308</f>
        <v>8300</v>
      </c>
      <c r="H308" s="338"/>
      <c r="I308" s="339"/>
    </row>
    <row r="309" spans="1:9">
      <c r="A309" s="334"/>
      <c r="B309" s="335">
        <v>2.8000000000000001E-2</v>
      </c>
      <c r="C309" s="336"/>
      <c r="D309" s="336" t="s">
        <v>4</v>
      </c>
      <c r="E309" s="336"/>
      <c r="F309" s="338">
        <f>F284</f>
        <v>99000</v>
      </c>
      <c r="G309" s="338">
        <f>F309*B309</f>
        <v>2772</v>
      </c>
      <c r="H309" s="338"/>
      <c r="I309" s="339"/>
    </row>
    <row r="310" spans="1:9">
      <c r="A310" s="334"/>
      <c r="B310" s="335">
        <v>0.27500000000000002</v>
      </c>
      <c r="C310" s="336"/>
      <c r="D310" s="336" t="s">
        <v>462</v>
      </c>
      <c r="E310" s="336"/>
      <c r="F310" s="338">
        <f>'Bahan &amp; Upah'!E11</f>
        <v>82000</v>
      </c>
      <c r="G310" s="338">
        <f>F310*B310</f>
        <v>22550.000000000004</v>
      </c>
      <c r="H310" s="338"/>
      <c r="I310" s="339"/>
    </row>
    <row r="311" spans="1:9">
      <c r="A311" s="334"/>
      <c r="B311" s="335">
        <v>1.65</v>
      </c>
      <c r="C311" s="336"/>
      <c r="D311" s="336" t="s">
        <v>6</v>
      </c>
      <c r="E311" s="336"/>
      <c r="F311" s="338">
        <f>'Bahan &amp; Upah'!E18</f>
        <v>71000</v>
      </c>
      <c r="G311" s="338">
        <f>F311*B311</f>
        <v>117150</v>
      </c>
      <c r="H311" s="338"/>
      <c r="I311" s="339"/>
    </row>
    <row r="312" spans="1:9">
      <c r="A312" s="329"/>
      <c r="B312" s="330"/>
      <c r="C312" s="331"/>
      <c r="D312" s="331"/>
      <c r="E312" s="331" t="s">
        <v>405</v>
      </c>
      <c r="F312" s="332"/>
      <c r="G312" s="332"/>
      <c r="H312" s="332"/>
      <c r="I312" s="333">
        <f>SUM(G308:G312)</f>
        <v>150772</v>
      </c>
    </row>
    <row r="313" spans="1:9">
      <c r="A313" s="334"/>
      <c r="B313" s="335"/>
      <c r="C313" s="336"/>
      <c r="D313" s="336"/>
      <c r="E313" s="336"/>
      <c r="F313" s="338"/>
      <c r="G313" s="338"/>
      <c r="H313" s="338"/>
      <c r="I313" s="339"/>
    </row>
    <row r="314" spans="1:9">
      <c r="A314" s="334"/>
      <c r="B314" s="335">
        <v>1</v>
      </c>
      <c r="C314" s="336" t="s">
        <v>406</v>
      </c>
      <c r="D314" s="336" t="s">
        <v>463</v>
      </c>
      <c r="E314" s="336"/>
      <c r="F314" s="338">
        <f>[2]Hardas!$E$251</f>
        <v>990000</v>
      </c>
      <c r="G314" s="338"/>
      <c r="H314" s="338">
        <f>F314*B314</f>
        <v>990000</v>
      </c>
      <c r="I314" s="339"/>
    </row>
    <row r="315" spans="1:9">
      <c r="A315" s="334"/>
      <c r="B315" s="335">
        <v>0.25</v>
      </c>
      <c r="C315" s="336" t="s">
        <v>446</v>
      </c>
      <c r="D315" s="336" t="s">
        <v>9</v>
      </c>
      <c r="E315" s="336"/>
      <c r="F315" s="338">
        <f>H314*0.1</f>
        <v>99000</v>
      </c>
      <c r="G315" s="338"/>
      <c r="H315" s="338">
        <f>F315*B315</f>
        <v>24750</v>
      </c>
      <c r="I315" s="339"/>
    </row>
    <row r="316" spans="1:9">
      <c r="A316" s="334"/>
      <c r="B316" s="335">
        <v>0.1</v>
      </c>
      <c r="C316" s="336" t="s">
        <v>16</v>
      </c>
      <c r="D316" s="336" t="s">
        <v>464</v>
      </c>
      <c r="E316" s="336"/>
      <c r="F316" s="338">
        <f>[2]Hardas!$E$259</f>
        <v>21210</v>
      </c>
      <c r="G316" s="338"/>
      <c r="H316" s="338">
        <f>F316*B316</f>
        <v>2121</v>
      </c>
      <c r="I316" s="339"/>
    </row>
    <row r="317" spans="1:9">
      <c r="A317" s="334"/>
      <c r="B317" s="335">
        <v>0.1</v>
      </c>
      <c r="C317" s="336" t="s">
        <v>16</v>
      </c>
      <c r="D317" s="336" t="s">
        <v>17</v>
      </c>
      <c r="E317" s="336"/>
      <c r="F317" s="338">
        <f>[2]Hardas!$E$261</f>
        <v>250000</v>
      </c>
      <c r="G317" s="338"/>
      <c r="H317" s="338">
        <f>F317*B317</f>
        <v>25000</v>
      </c>
      <c r="I317" s="339"/>
    </row>
    <row r="318" spans="1:9">
      <c r="A318" s="329"/>
      <c r="B318" s="330"/>
      <c r="C318" s="331"/>
      <c r="D318" s="331"/>
      <c r="E318" s="331" t="s">
        <v>410</v>
      </c>
      <c r="F318" s="332"/>
      <c r="G318" s="332"/>
      <c r="H318" s="332"/>
      <c r="I318" s="333">
        <f>SUM(H314:H318)</f>
        <v>1041871</v>
      </c>
    </row>
    <row r="319" spans="1:9">
      <c r="A319" s="334"/>
      <c r="B319" s="335"/>
      <c r="C319" s="336"/>
      <c r="D319" s="336"/>
      <c r="E319" s="336"/>
      <c r="F319" s="338"/>
      <c r="G319" s="338"/>
      <c r="H319" s="338"/>
      <c r="I319" s="339"/>
    </row>
    <row r="320" spans="1:9">
      <c r="A320" s="334"/>
      <c r="B320" s="335"/>
      <c r="C320" s="336"/>
      <c r="D320" s="336"/>
      <c r="E320" s="336"/>
      <c r="F320" s="338"/>
      <c r="G320" s="338"/>
      <c r="H320" s="338"/>
      <c r="I320" s="339"/>
    </row>
    <row r="321" spans="1:9">
      <c r="A321" s="340"/>
      <c r="B321" s="330"/>
      <c r="C321" s="331"/>
      <c r="D321" s="331"/>
      <c r="E321" s="331" t="s">
        <v>411</v>
      </c>
      <c r="F321" s="332"/>
      <c r="G321" s="332"/>
      <c r="H321" s="332"/>
      <c r="I321" s="333"/>
    </row>
    <row r="322" spans="1:9">
      <c r="A322" s="340"/>
      <c r="B322" s="330"/>
      <c r="C322" s="331"/>
      <c r="D322" s="331" t="s">
        <v>412</v>
      </c>
      <c r="E322" s="331"/>
      <c r="F322" s="332"/>
      <c r="G322" s="332"/>
      <c r="H322" s="332"/>
      <c r="I322" s="333">
        <f>SUM(I308:I321)</f>
        <v>1192643</v>
      </c>
    </row>
    <row r="323" spans="1:9">
      <c r="A323" s="340"/>
      <c r="B323" s="330"/>
      <c r="C323" s="331"/>
      <c r="D323" s="331" t="s">
        <v>413</v>
      </c>
      <c r="E323" s="331"/>
      <c r="F323" s="332"/>
      <c r="G323" s="332"/>
      <c r="H323" s="332"/>
      <c r="I323" s="333">
        <f>I322*0.1</f>
        <v>119264.3</v>
      </c>
    </row>
    <row r="324" spans="1:9">
      <c r="A324" s="360"/>
      <c r="B324" s="361"/>
      <c r="C324" s="362"/>
      <c r="D324" s="363" t="s">
        <v>414</v>
      </c>
      <c r="E324" s="362"/>
      <c r="F324" s="364"/>
      <c r="G324" s="364"/>
      <c r="H324" s="364"/>
      <c r="I324" s="365">
        <f>ROUNDDOWN(I323+I322,0)</f>
        <v>1311907</v>
      </c>
    </row>
    <row r="325" spans="1:9" ht="13.5" hidden="1" thickBot="1">
      <c r="A325" s="366"/>
      <c r="B325" s="367"/>
      <c r="C325" s="368"/>
      <c r="D325" s="369"/>
      <c r="E325" s="368"/>
      <c r="F325" s="370"/>
      <c r="G325" s="370"/>
      <c r="H325" s="370"/>
      <c r="I325" s="371"/>
    </row>
    <row r="326" spans="1:9" ht="14.25" hidden="1" thickTop="1" thickBot="1">
      <c r="A326" s="309" t="s">
        <v>0</v>
      </c>
      <c r="B326" s="380" t="s">
        <v>397</v>
      </c>
      <c r="C326" s="310" t="s">
        <v>398</v>
      </c>
      <c r="D326" s="310" t="s">
        <v>1</v>
      </c>
      <c r="E326" s="311"/>
      <c r="F326" s="381" t="s">
        <v>399</v>
      </c>
      <c r="G326" s="381" t="s">
        <v>400</v>
      </c>
      <c r="H326" s="381" t="s">
        <v>401</v>
      </c>
      <c r="I326" s="382" t="s">
        <v>402</v>
      </c>
    </row>
    <row r="327" spans="1:9" ht="13.5" hidden="1" thickTop="1">
      <c r="A327" s="351">
        <v>19</v>
      </c>
      <c r="B327" s="352" t="s">
        <v>465</v>
      </c>
      <c r="C327" s="353"/>
      <c r="D327" s="353"/>
      <c r="E327" s="353"/>
      <c r="F327" s="354"/>
      <c r="G327" s="354"/>
      <c r="H327" s="354"/>
      <c r="I327" s="355"/>
    </row>
    <row r="328" spans="1:9" hidden="1">
      <c r="A328" s="334"/>
      <c r="B328" s="335">
        <v>2.5000000000000001E-2</v>
      </c>
      <c r="C328" s="336"/>
      <c r="D328" s="336" t="s">
        <v>3</v>
      </c>
      <c r="E328" s="336"/>
      <c r="F328" s="337">
        <f>[2]Hardas!$E$10</f>
        <v>100000</v>
      </c>
      <c r="G328" s="338">
        <f>F328*B328</f>
        <v>2500</v>
      </c>
      <c r="H328" s="338"/>
      <c r="I328" s="339"/>
    </row>
    <row r="329" spans="1:9" hidden="1">
      <c r="A329" s="334"/>
      <c r="B329" s="335">
        <v>2.5000000000000001E-2</v>
      </c>
      <c r="C329" s="336"/>
      <c r="D329" s="336" t="s">
        <v>4</v>
      </c>
      <c r="E329" s="336"/>
      <c r="F329" s="338">
        <f>[2]Hardas!$E$11</f>
        <v>91000</v>
      </c>
      <c r="G329" s="338">
        <f>F329*B329</f>
        <v>2275</v>
      </c>
      <c r="H329" s="338"/>
      <c r="I329" s="339"/>
    </row>
    <row r="330" spans="1:9" hidden="1">
      <c r="A330" s="334"/>
      <c r="B330" s="335">
        <v>0.25</v>
      </c>
      <c r="C330" s="336"/>
      <c r="D330" s="336" t="s">
        <v>428</v>
      </c>
      <c r="E330" s="336"/>
      <c r="F330" s="338">
        <f>[2]Hardas!$E$14</f>
        <v>82000</v>
      </c>
      <c r="G330" s="338">
        <f>F330*B330</f>
        <v>20500</v>
      </c>
      <c r="H330" s="338"/>
      <c r="I330" s="339"/>
    </row>
    <row r="331" spans="1:9" hidden="1">
      <c r="A331" s="334"/>
      <c r="B331" s="335">
        <v>0.5</v>
      </c>
      <c r="C331" s="336"/>
      <c r="D331" s="336" t="s">
        <v>6</v>
      </c>
      <c r="E331" s="336"/>
      <c r="F331" s="338">
        <f>[2]Hardas!$E$21</f>
        <v>59000</v>
      </c>
      <c r="G331" s="338">
        <f>F331*B331</f>
        <v>29500</v>
      </c>
      <c r="H331" s="338"/>
      <c r="I331" s="339"/>
    </row>
    <row r="332" spans="1:9" hidden="1">
      <c r="A332" s="329"/>
      <c r="B332" s="330"/>
      <c r="C332" s="331"/>
      <c r="D332" s="331"/>
      <c r="E332" s="331" t="s">
        <v>405</v>
      </c>
      <c r="F332" s="332"/>
      <c r="G332" s="332"/>
      <c r="H332" s="332"/>
      <c r="I332" s="333">
        <f>SUM(G328:G332)</f>
        <v>54775</v>
      </c>
    </row>
    <row r="333" spans="1:9" hidden="1">
      <c r="A333" s="334"/>
      <c r="B333" s="335"/>
      <c r="C333" s="336"/>
      <c r="D333" s="336"/>
      <c r="E333" s="336"/>
      <c r="F333" s="338"/>
      <c r="G333" s="338"/>
      <c r="H333" s="338"/>
      <c r="I333" s="339"/>
    </row>
    <row r="334" spans="1:9" hidden="1">
      <c r="A334" s="334"/>
      <c r="B334" s="335">
        <v>1.1000000000000001</v>
      </c>
      <c r="C334" s="336" t="s">
        <v>406</v>
      </c>
      <c r="D334" s="336" t="s">
        <v>466</v>
      </c>
      <c r="E334" s="336"/>
      <c r="F334" s="338">
        <f>[2]Hardas!$E$29</f>
        <v>136500</v>
      </c>
      <c r="G334" s="338"/>
      <c r="H334" s="338">
        <f>F334*B334</f>
        <v>150150</v>
      </c>
      <c r="I334" s="339"/>
    </row>
    <row r="335" spans="1:9" hidden="1">
      <c r="A335" s="334"/>
      <c r="B335" s="335">
        <v>10.5</v>
      </c>
      <c r="C335" s="336" t="s">
        <v>7</v>
      </c>
      <c r="D335" s="336" t="s">
        <v>467</v>
      </c>
      <c r="E335" s="336"/>
      <c r="F335" s="338">
        <f>[2]Hardas!$E$40</f>
        <v>1050</v>
      </c>
      <c r="G335" s="338"/>
      <c r="H335" s="338">
        <f>F335*B335</f>
        <v>11025</v>
      </c>
      <c r="I335" s="339"/>
    </row>
    <row r="336" spans="1:9" hidden="1">
      <c r="A336" s="334"/>
      <c r="B336" s="335">
        <v>1</v>
      </c>
      <c r="C336" s="336" t="s">
        <v>406</v>
      </c>
      <c r="D336" s="336" t="s">
        <v>432</v>
      </c>
      <c r="E336" s="336"/>
      <c r="F336" s="338">
        <f>[2]Hardas!$E$28</f>
        <v>115000</v>
      </c>
      <c r="G336" s="338"/>
      <c r="H336" s="338">
        <f>F336*B336</f>
        <v>115000</v>
      </c>
      <c r="I336" s="339"/>
    </row>
    <row r="337" spans="1:9" hidden="1">
      <c r="A337" s="329"/>
      <c r="B337" s="330"/>
      <c r="C337" s="331"/>
      <c r="D337" s="331"/>
      <c r="E337" s="331" t="s">
        <v>410</v>
      </c>
      <c r="F337" s="332"/>
      <c r="G337" s="332"/>
      <c r="H337" s="332"/>
      <c r="I337" s="333">
        <f>SUM(H334:H337)</f>
        <v>276175</v>
      </c>
    </row>
    <row r="338" spans="1:9" hidden="1">
      <c r="A338" s="334"/>
      <c r="B338" s="335"/>
      <c r="C338" s="336"/>
      <c r="D338" s="336"/>
      <c r="E338" s="336"/>
      <c r="F338" s="338"/>
      <c r="G338" s="338"/>
      <c r="H338" s="338"/>
      <c r="I338" s="339"/>
    </row>
    <row r="339" spans="1:9" hidden="1">
      <c r="A339" s="340"/>
      <c r="B339" s="330"/>
      <c r="C339" s="331"/>
      <c r="D339" s="331"/>
      <c r="E339" s="331" t="s">
        <v>411</v>
      </c>
      <c r="F339" s="332"/>
      <c r="G339" s="332"/>
      <c r="H339" s="332"/>
      <c r="I339" s="333"/>
    </row>
    <row r="340" spans="1:9" hidden="1">
      <c r="A340" s="340"/>
      <c r="B340" s="330"/>
      <c r="C340" s="331"/>
      <c r="D340" s="331" t="s">
        <v>412</v>
      </c>
      <c r="E340" s="331"/>
      <c r="F340" s="332"/>
      <c r="G340" s="332"/>
      <c r="H340" s="332"/>
      <c r="I340" s="333">
        <f>SUM(I328:I339)</f>
        <v>330950</v>
      </c>
    </row>
    <row r="341" spans="1:9" hidden="1">
      <c r="A341" s="340"/>
      <c r="B341" s="330"/>
      <c r="C341" s="331"/>
      <c r="D341" s="331" t="s">
        <v>413</v>
      </c>
      <c r="E341" s="331"/>
      <c r="F341" s="332"/>
      <c r="G341" s="332"/>
      <c r="H341" s="332"/>
      <c r="I341" s="333">
        <f>I340*0.1</f>
        <v>33095</v>
      </c>
    </row>
    <row r="342" spans="1:9" hidden="1">
      <c r="A342" s="340"/>
      <c r="B342" s="356"/>
      <c r="C342" s="357"/>
      <c r="D342" s="331" t="s">
        <v>414</v>
      </c>
      <c r="E342" s="357"/>
      <c r="F342" s="332"/>
      <c r="G342" s="332"/>
      <c r="H342" s="332"/>
      <c r="I342" s="333">
        <f>ROUNDDOWN(I341+I340,0)</f>
        <v>364045</v>
      </c>
    </row>
    <row r="343" spans="1:9" hidden="1">
      <c r="A343" s="374"/>
      <c r="B343" s="375"/>
      <c r="C343" s="363"/>
      <c r="D343" s="363"/>
      <c r="E343" s="363" t="s">
        <v>468</v>
      </c>
      <c r="F343" s="372"/>
      <c r="G343" s="372"/>
      <c r="H343" s="372"/>
      <c r="I343" s="365">
        <f>I342</f>
        <v>364045</v>
      </c>
    </row>
    <row r="344" spans="1:9" ht="13.5" hidden="1" thickBot="1">
      <c r="A344" s="377"/>
      <c r="B344" s="378"/>
      <c r="C344" s="369"/>
      <c r="D344" s="369"/>
      <c r="E344" s="369"/>
      <c r="F344" s="373"/>
      <c r="G344" s="373"/>
      <c r="H344" s="373"/>
      <c r="I344" s="371"/>
    </row>
    <row r="345" spans="1:9" ht="14.25" hidden="1" thickTop="1" thickBot="1">
      <c r="A345" s="309" t="s">
        <v>0</v>
      </c>
      <c r="B345" s="380" t="s">
        <v>397</v>
      </c>
      <c r="C345" s="310" t="s">
        <v>398</v>
      </c>
      <c r="D345" s="310" t="s">
        <v>1</v>
      </c>
      <c r="E345" s="311"/>
      <c r="F345" s="381" t="s">
        <v>399</v>
      </c>
      <c r="G345" s="381" t="s">
        <v>400</v>
      </c>
      <c r="H345" s="381" t="s">
        <v>401</v>
      </c>
      <c r="I345" s="382" t="s">
        <v>402</v>
      </c>
    </row>
    <row r="346" spans="1:9" ht="13.5" hidden="1" thickTop="1">
      <c r="A346" s="351">
        <v>20</v>
      </c>
      <c r="B346" s="352" t="s">
        <v>853</v>
      </c>
      <c r="C346" s="353"/>
      <c r="D346" s="353"/>
      <c r="E346" s="353"/>
      <c r="F346" s="354"/>
      <c r="G346" s="354"/>
      <c r="H346" s="354"/>
      <c r="I346" s="355"/>
    </row>
    <row r="347" spans="1:9" hidden="1">
      <c r="A347" s="383"/>
      <c r="B347" s="335">
        <v>7.0000000000000007E-2</v>
      </c>
      <c r="C347" s="336"/>
      <c r="D347" s="336" t="s">
        <v>3</v>
      </c>
      <c r="E347" s="336"/>
      <c r="F347" s="337">
        <f>[2]Hardas!$E$10</f>
        <v>100000</v>
      </c>
      <c r="G347" s="338">
        <f>F347*B347</f>
        <v>7000.0000000000009</v>
      </c>
      <c r="H347" s="338"/>
      <c r="I347" s="339"/>
    </row>
    <row r="348" spans="1:9" hidden="1">
      <c r="A348" s="383"/>
      <c r="B348" s="335">
        <v>2.9000000000000001E-2</v>
      </c>
      <c r="C348" s="336"/>
      <c r="D348" s="336" t="s">
        <v>4</v>
      </c>
      <c r="E348" s="336"/>
      <c r="F348" s="338">
        <f>[2]Hardas!$E$11</f>
        <v>91000</v>
      </c>
      <c r="G348" s="338">
        <f>F348*B348</f>
        <v>2639</v>
      </c>
      <c r="H348" s="338"/>
      <c r="I348" s="339"/>
    </row>
    <row r="349" spans="1:9" hidden="1">
      <c r="A349" s="383"/>
      <c r="B349" s="335">
        <v>0.2</v>
      </c>
      <c r="C349" s="336"/>
      <c r="D349" s="336" t="s">
        <v>428</v>
      </c>
      <c r="E349" s="336"/>
      <c r="F349" s="338">
        <f>[2]Hardas!$E$14</f>
        <v>82000</v>
      </c>
      <c r="G349" s="338">
        <f>F349*B349</f>
        <v>16400</v>
      </c>
      <c r="H349" s="338"/>
      <c r="I349" s="339"/>
    </row>
    <row r="350" spans="1:9" hidden="1">
      <c r="A350" s="383"/>
      <c r="B350" s="335">
        <v>1.25</v>
      </c>
      <c r="C350" s="336"/>
      <c r="D350" s="336" t="s">
        <v>6</v>
      </c>
      <c r="E350" s="336"/>
      <c r="F350" s="338">
        <f>[2]Hardas!$E$21</f>
        <v>59000</v>
      </c>
      <c r="G350" s="338">
        <f>F350*B350</f>
        <v>73750</v>
      </c>
      <c r="H350" s="338"/>
      <c r="I350" s="339"/>
    </row>
    <row r="351" spans="1:9" hidden="1">
      <c r="A351" s="329"/>
      <c r="B351" s="330"/>
      <c r="C351" s="331"/>
      <c r="D351" s="331"/>
      <c r="E351" s="331" t="s">
        <v>405</v>
      </c>
      <c r="F351" s="332"/>
      <c r="G351" s="332"/>
      <c r="H351" s="332"/>
      <c r="I351" s="333">
        <f>SUM(G347:G351)</f>
        <v>99789</v>
      </c>
    </row>
    <row r="352" spans="1:9" hidden="1">
      <c r="A352" s="334"/>
      <c r="B352" s="335"/>
      <c r="C352" s="336"/>
      <c r="D352" s="336"/>
      <c r="E352" s="336"/>
      <c r="F352" s="338"/>
      <c r="G352" s="338"/>
      <c r="H352" s="338"/>
      <c r="I352" s="339"/>
    </row>
    <row r="353" spans="1:12" hidden="1">
      <c r="A353" s="334"/>
      <c r="B353" s="335">
        <f>B371</f>
        <v>1</v>
      </c>
      <c r="C353" s="336" t="s">
        <v>469</v>
      </c>
      <c r="D353" s="336" t="s">
        <v>470</v>
      </c>
      <c r="E353" s="336"/>
      <c r="F353" s="338">
        <f>[2]Hardas!$E$244</f>
        <v>731250</v>
      </c>
      <c r="G353" s="338"/>
      <c r="H353" s="338">
        <f>F353*B353</f>
        <v>731250</v>
      </c>
      <c r="I353" s="339"/>
    </row>
    <row r="354" spans="1:12" hidden="1">
      <c r="A354" s="334"/>
      <c r="B354" s="335">
        <f>'[1]Be-02'!$K$108/'[1]Be-02'!$K$99</f>
        <v>9.6485299087529577E-2</v>
      </c>
      <c r="C354" s="336"/>
      <c r="D354" s="336" t="s">
        <v>18</v>
      </c>
      <c r="E354" s="336"/>
      <c r="F354" s="338">
        <f>[2]Hardas!$E$245</f>
        <v>85000</v>
      </c>
      <c r="G354" s="338"/>
      <c r="H354" s="338">
        <f>F354*B354</f>
        <v>8201.2504224400145</v>
      </c>
      <c r="I354" s="339"/>
    </row>
    <row r="355" spans="1:12" hidden="1">
      <c r="A355" s="329"/>
      <c r="B355" s="330"/>
      <c r="C355" s="331"/>
      <c r="D355" s="331"/>
      <c r="E355" s="331" t="s">
        <v>410</v>
      </c>
      <c r="F355" s="332"/>
      <c r="G355" s="332"/>
      <c r="H355" s="332"/>
      <c r="I355" s="333">
        <f>SUM(H353:H355)</f>
        <v>739451.25042244</v>
      </c>
    </row>
    <row r="356" spans="1:12" hidden="1">
      <c r="A356" s="334"/>
      <c r="B356" s="335"/>
      <c r="C356" s="336"/>
      <c r="D356" s="336"/>
      <c r="E356" s="336"/>
      <c r="F356" s="338"/>
      <c r="G356" s="338"/>
      <c r="H356" s="338"/>
      <c r="I356" s="339"/>
    </row>
    <row r="357" spans="1:12" hidden="1">
      <c r="A357" s="334"/>
      <c r="B357" s="335">
        <v>1</v>
      </c>
      <c r="C357" s="336" t="s">
        <v>446</v>
      </c>
      <c r="D357" s="336" t="s">
        <v>9</v>
      </c>
      <c r="E357" s="336"/>
      <c r="F357" s="338">
        <v>100000</v>
      </c>
      <c r="G357" s="338">
        <f>F357*B357</f>
        <v>100000</v>
      </c>
      <c r="H357" s="338"/>
      <c r="I357" s="339"/>
    </row>
    <row r="358" spans="1:12" hidden="1">
      <c r="A358" s="340"/>
      <c r="B358" s="330"/>
      <c r="C358" s="331"/>
      <c r="D358" s="331"/>
      <c r="E358" s="331" t="s">
        <v>411</v>
      </c>
      <c r="F358" s="332"/>
      <c r="G358" s="332"/>
      <c r="H358" s="332"/>
      <c r="I358" s="333">
        <f>SUM(G355:G358)</f>
        <v>100000</v>
      </c>
    </row>
    <row r="359" spans="1:12" hidden="1">
      <c r="A359" s="340"/>
      <c r="B359" s="330"/>
      <c r="C359" s="331"/>
      <c r="D359" s="331" t="s">
        <v>412</v>
      </c>
      <c r="E359" s="331"/>
      <c r="F359" s="332"/>
      <c r="G359" s="332"/>
      <c r="H359" s="332"/>
      <c r="I359" s="333">
        <f>SUM(I347:I358)</f>
        <v>939240.25042244</v>
      </c>
    </row>
    <row r="360" spans="1:12" hidden="1">
      <c r="A360" s="340"/>
      <c r="B360" s="330"/>
      <c r="C360" s="331"/>
      <c r="D360" s="331" t="s">
        <v>413</v>
      </c>
      <c r="E360" s="331"/>
      <c r="F360" s="332"/>
      <c r="G360" s="332"/>
      <c r="H360" s="332"/>
      <c r="I360" s="333">
        <f>I359*0.1</f>
        <v>93924.025042244</v>
      </c>
    </row>
    <row r="361" spans="1:12" hidden="1">
      <c r="A361" s="360"/>
      <c r="B361" s="361"/>
      <c r="C361" s="362"/>
      <c r="D361" s="363" t="s">
        <v>414</v>
      </c>
      <c r="E361" s="362"/>
      <c r="F361" s="364"/>
      <c r="G361" s="364"/>
      <c r="H361" s="364"/>
      <c r="I361" s="365">
        <f>ROUNDDOWN(I360+I359,0)</f>
        <v>1033164</v>
      </c>
      <c r="J361" s="384"/>
    </row>
    <row r="362" spans="1:12" ht="13.5" hidden="1" thickBot="1">
      <c r="A362" s="366"/>
      <c r="B362" s="367"/>
      <c r="C362" s="368"/>
      <c r="D362" s="369"/>
      <c r="E362" s="368"/>
      <c r="F362" s="370"/>
      <c r="G362" s="370"/>
      <c r="H362" s="370"/>
      <c r="I362" s="371"/>
      <c r="J362" s="384"/>
    </row>
    <row r="363" spans="1:12" ht="14.25" hidden="1" thickTop="1" thickBot="1">
      <c r="A363" s="309" t="s">
        <v>0</v>
      </c>
      <c r="B363" s="380" t="s">
        <v>397</v>
      </c>
      <c r="C363" s="310" t="s">
        <v>398</v>
      </c>
      <c r="D363" s="310" t="s">
        <v>1</v>
      </c>
      <c r="E363" s="311"/>
      <c r="F363" s="381" t="s">
        <v>399</v>
      </c>
      <c r="G363" s="381" t="s">
        <v>400</v>
      </c>
      <c r="H363" s="381" t="s">
        <v>401</v>
      </c>
      <c r="I363" s="382" t="s">
        <v>402</v>
      </c>
    </row>
    <row r="364" spans="1:12" ht="13.5" hidden="1" thickTop="1">
      <c r="A364" s="351">
        <v>21</v>
      </c>
      <c r="B364" s="352" t="s">
        <v>854</v>
      </c>
      <c r="C364" s="353"/>
      <c r="D364" s="353"/>
      <c r="E364" s="353"/>
      <c r="F364" s="354"/>
      <c r="G364" s="354"/>
      <c r="H364" s="354"/>
      <c r="I364" s="355"/>
    </row>
    <row r="365" spans="1:12" hidden="1">
      <c r="A365" s="334"/>
      <c r="B365" s="335">
        <f>0.07*0.15</f>
        <v>1.0500000000000001E-2</v>
      </c>
      <c r="C365" s="336"/>
      <c r="D365" s="336" t="s">
        <v>3</v>
      </c>
      <c r="E365" s="336"/>
      <c r="F365" s="337">
        <f>[2]Hardas!$E$10</f>
        <v>100000</v>
      </c>
      <c r="G365" s="338">
        <f>F365*B365</f>
        <v>1050</v>
      </c>
      <c r="H365" s="338"/>
      <c r="I365" s="339"/>
      <c r="K365" s="307">
        <f>120000</f>
        <v>120000</v>
      </c>
      <c r="L365" s="307">
        <f>K365/$K$368</f>
        <v>0.78688524590163933</v>
      </c>
    </row>
    <row r="366" spans="1:12" hidden="1">
      <c r="A366" s="334"/>
      <c r="B366" s="335">
        <f>0.029*0.15</f>
        <v>4.3499999999999997E-3</v>
      </c>
      <c r="C366" s="336"/>
      <c r="D366" s="336" t="s">
        <v>4</v>
      </c>
      <c r="E366" s="336"/>
      <c r="F366" s="338">
        <f>[2]Hardas!$E$11</f>
        <v>91000</v>
      </c>
      <c r="G366" s="338">
        <f>F366*B366</f>
        <v>395.84999999999997</v>
      </c>
      <c r="H366" s="338"/>
      <c r="I366" s="339"/>
      <c r="K366" s="307">
        <f>125000*0.1</f>
        <v>12500</v>
      </c>
      <c r="L366" s="307">
        <f t="shared" ref="L366:L367" si="7">K366/$K$368</f>
        <v>8.1967213114754092E-2</v>
      </c>
    </row>
    <row r="367" spans="1:12" hidden="1">
      <c r="A367" s="334"/>
      <c r="B367" s="335">
        <f>0.2*0.15</f>
        <v>0.03</v>
      </c>
      <c r="C367" s="336"/>
      <c r="D367" s="336" t="s">
        <v>428</v>
      </c>
      <c r="E367" s="336"/>
      <c r="F367" s="338">
        <f>[2]Hardas!$E$14</f>
        <v>82000</v>
      </c>
      <c r="G367" s="338">
        <f>F367*B367</f>
        <v>2460</v>
      </c>
      <c r="H367" s="338"/>
      <c r="I367" s="339"/>
      <c r="K367" s="307">
        <v>20000</v>
      </c>
      <c r="L367" s="307">
        <f t="shared" si="7"/>
        <v>0.13114754098360656</v>
      </c>
    </row>
    <row r="368" spans="1:12" hidden="1">
      <c r="A368" s="334"/>
      <c r="B368" s="335">
        <f>1.25*0.15</f>
        <v>0.1875</v>
      </c>
      <c r="C368" s="336"/>
      <c r="D368" s="336" t="s">
        <v>6</v>
      </c>
      <c r="E368" s="336"/>
      <c r="F368" s="338">
        <f>[2]Hardas!$E$21</f>
        <v>59000</v>
      </c>
      <c r="G368" s="338">
        <f>F368*B368</f>
        <v>11062.5</v>
      </c>
      <c r="H368" s="338"/>
      <c r="I368" s="339"/>
      <c r="K368" s="307">
        <f>SUM(K365:K367)</f>
        <v>152500</v>
      </c>
    </row>
    <row r="369" spans="1:9" hidden="1">
      <c r="A369" s="329"/>
      <c r="B369" s="330"/>
      <c r="C369" s="331"/>
      <c r="D369" s="331"/>
      <c r="E369" s="331" t="s">
        <v>405</v>
      </c>
      <c r="F369" s="332"/>
      <c r="G369" s="332"/>
      <c r="H369" s="332"/>
      <c r="I369" s="333">
        <f>SUM(G365:G369)</f>
        <v>14968.35</v>
      </c>
    </row>
    <row r="370" spans="1:9" hidden="1">
      <c r="A370" s="334"/>
      <c r="B370" s="335"/>
      <c r="C370" s="336"/>
      <c r="D370" s="336"/>
      <c r="E370" s="336"/>
      <c r="F370" s="338"/>
      <c r="G370" s="338"/>
      <c r="H370" s="338"/>
      <c r="I370" s="339"/>
    </row>
    <row r="371" spans="1:9" hidden="1">
      <c r="A371" s="334"/>
      <c r="B371" s="335">
        <v>1</v>
      </c>
      <c r="C371" s="336" t="s">
        <v>469</v>
      </c>
      <c r="D371" s="336" t="s">
        <v>470</v>
      </c>
      <c r="E371" s="336"/>
      <c r="F371" s="338">
        <f>[2]Hardas!$E$244</f>
        <v>731250</v>
      </c>
      <c r="G371" s="338"/>
      <c r="H371" s="338">
        <f>F371*B371</f>
        <v>731250</v>
      </c>
      <c r="I371" s="339"/>
    </row>
    <row r="372" spans="1:9" hidden="1">
      <c r="A372" s="329"/>
      <c r="B372" s="330"/>
      <c r="C372" s="331"/>
      <c r="D372" s="331"/>
      <c r="E372" s="331" t="s">
        <v>410</v>
      </c>
      <c r="F372" s="332"/>
      <c r="G372" s="332"/>
      <c r="H372" s="332"/>
      <c r="I372" s="333">
        <f>SUM(H371:H372)</f>
        <v>731250</v>
      </c>
    </row>
    <row r="373" spans="1:9" hidden="1">
      <c r="A373" s="334"/>
      <c r="B373" s="335"/>
      <c r="C373" s="336"/>
      <c r="D373" s="336"/>
      <c r="E373" s="336"/>
      <c r="F373" s="338"/>
      <c r="G373" s="338"/>
      <c r="H373" s="338"/>
      <c r="I373" s="339"/>
    </row>
    <row r="374" spans="1:9" hidden="1">
      <c r="A374" s="334"/>
      <c r="B374" s="335">
        <v>1</v>
      </c>
      <c r="C374" s="336" t="s">
        <v>446</v>
      </c>
      <c r="D374" s="336" t="s">
        <v>9</v>
      </c>
      <c r="E374" s="336"/>
      <c r="F374" s="338">
        <v>25000</v>
      </c>
      <c r="G374" s="338">
        <f>F374*B374</f>
        <v>25000</v>
      </c>
      <c r="H374" s="338"/>
      <c r="I374" s="339"/>
    </row>
    <row r="375" spans="1:9" hidden="1">
      <c r="A375" s="340"/>
      <c r="B375" s="330"/>
      <c r="C375" s="331"/>
      <c r="D375" s="331"/>
      <c r="E375" s="331" t="s">
        <v>411</v>
      </c>
      <c r="F375" s="332"/>
      <c r="G375" s="332"/>
      <c r="H375" s="332"/>
      <c r="I375" s="333">
        <f>SUM(G374:G375)</f>
        <v>25000</v>
      </c>
    </row>
    <row r="376" spans="1:9" hidden="1">
      <c r="A376" s="340"/>
      <c r="B376" s="330"/>
      <c r="C376" s="331"/>
      <c r="D376" s="331" t="s">
        <v>412</v>
      </c>
      <c r="E376" s="331"/>
      <c r="F376" s="332"/>
      <c r="G376" s="332"/>
      <c r="H376" s="332"/>
      <c r="I376" s="333">
        <f>SUM(I365:I375)</f>
        <v>771218.35</v>
      </c>
    </row>
    <row r="377" spans="1:9" hidden="1">
      <c r="A377" s="340"/>
      <c r="B377" s="330"/>
      <c r="C377" s="331"/>
      <c r="D377" s="331" t="s">
        <v>413</v>
      </c>
      <c r="E377" s="331"/>
      <c r="F377" s="332"/>
      <c r="G377" s="332"/>
      <c r="H377" s="332"/>
      <c r="I377" s="333">
        <f>I376*0.1</f>
        <v>77121.835000000006</v>
      </c>
    </row>
    <row r="378" spans="1:9" hidden="1">
      <c r="A378" s="360"/>
      <c r="B378" s="361"/>
      <c r="C378" s="362"/>
      <c r="D378" s="363" t="s">
        <v>414</v>
      </c>
      <c r="E378" s="362"/>
      <c r="F378" s="364"/>
      <c r="G378" s="364"/>
      <c r="H378" s="364"/>
      <c r="I378" s="365">
        <f>ROUNDDOWN(I377+I376,0)</f>
        <v>848340</v>
      </c>
    </row>
    <row r="379" spans="1:9" ht="13.5" hidden="1" thickBot="1">
      <c r="A379" s="366"/>
      <c r="B379" s="367"/>
      <c r="C379" s="368"/>
      <c r="D379" s="369"/>
      <c r="E379" s="368"/>
      <c r="F379" s="370"/>
      <c r="G379" s="370"/>
      <c r="H379" s="370"/>
      <c r="I379" s="371"/>
    </row>
    <row r="380" spans="1:9" ht="14.25" hidden="1" thickTop="1" thickBot="1">
      <c r="A380" s="309" t="s">
        <v>0</v>
      </c>
      <c r="B380" s="380" t="s">
        <v>397</v>
      </c>
      <c r="C380" s="310" t="s">
        <v>398</v>
      </c>
      <c r="D380" s="310" t="s">
        <v>1</v>
      </c>
      <c r="E380" s="311"/>
      <c r="F380" s="381" t="s">
        <v>399</v>
      </c>
      <c r="G380" s="381" t="s">
        <v>400</v>
      </c>
      <c r="H380" s="381" t="s">
        <v>401</v>
      </c>
      <c r="I380" s="382" t="s">
        <v>402</v>
      </c>
    </row>
    <row r="381" spans="1:9" ht="13.5" hidden="1" thickTop="1">
      <c r="A381" s="351">
        <v>22</v>
      </c>
      <c r="B381" s="352" t="s">
        <v>855</v>
      </c>
      <c r="C381" s="353"/>
      <c r="D381" s="353"/>
      <c r="E381" s="353"/>
      <c r="F381" s="354"/>
      <c r="G381" s="354"/>
      <c r="H381" s="354"/>
      <c r="I381" s="355"/>
    </row>
    <row r="382" spans="1:9" hidden="1">
      <c r="A382" s="334"/>
      <c r="B382" s="335">
        <f>0.07*0.8</f>
        <v>5.6000000000000008E-2</v>
      </c>
      <c r="C382" s="336"/>
      <c r="D382" s="336" t="s">
        <v>3</v>
      </c>
      <c r="E382" s="336"/>
      <c r="F382" s="337">
        <f>[2]Hardas!$E$10</f>
        <v>100000</v>
      </c>
      <c r="G382" s="338">
        <f>F382*B382</f>
        <v>5600.0000000000009</v>
      </c>
      <c r="H382" s="338"/>
      <c r="I382" s="339"/>
    </row>
    <row r="383" spans="1:9" hidden="1">
      <c r="A383" s="334"/>
      <c r="B383" s="335">
        <f>0.029*0.8</f>
        <v>2.3200000000000002E-2</v>
      </c>
      <c r="C383" s="336"/>
      <c r="D383" s="336" t="s">
        <v>4</v>
      </c>
      <c r="E383" s="336"/>
      <c r="F383" s="338">
        <f>[2]Hardas!$E$11</f>
        <v>91000</v>
      </c>
      <c r="G383" s="338">
        <f>F383*B383</f>
        <v>2111.2000000000003</v>
      </c>
      <c r="H383" s="338"/>
      <c r="I383" s="339"/>
    </row>
    <row r="384" spans="1:9" hidden="1">
      <c r="A384" s="334"/>
      <c r="B384" s="335">
        <f>0.2*0.8</f>
        <v>0.16000000000000003</v>
      </c>
      <c r="C384" s="336"/>
      <c r="D384" s="336" t="s">
        <v>428</v>
      </c>
      <c r="E384" s="336"/>
      <c r="F384" s="338">
        <f>[2]Hardas!$E$14</f>
        <v>82000</v>
      </c>
      <c r="G384" s="338">
        <f>F384*B384</f>
        <v>13120.000000000002</v>
      </c>
      <c r="H384" s="338"/>
      <c r="I384" s="339"/>
    </row>
    <row r="385" spans="1:9" hidden="1">
      <c r="A385" s="334"/>
      <c r="B385" s="335">
        <f>1.25*0.8</f>
        <v>1</v>
      </c>
      <c r="C385" s="336"/>
      <c r="D385" s="336" t="s">
        <v>6</v>
      </c>
      <c r="E385" s="336"/>
      <c r="F385" s="338">
        <f>[2]Hardas!$E$21</f>
        <v>59000</v>
      </c>
      <c r="G385" s="338">
        <f>F385*B385</f>
        <v>59000</v>
      </c>
      <c r="H385" s="338"/>
      <c r="I385" s="339"/>
    </row>
    <row r="386" spans="1:9" hidden="1">
      <c r="A386" s="329"/>
      <c r="B386" s="330"/>
      <c r="C386" s="331"/>
      <c r="D386" s="331"/>
      <c r="E386" s="331" t="s">
        <v>405</v>
      </c>
      <c r="F386" s="332"/>
      <c r="G386" s="332"/>
      <c r="H386" s="332"/>
      <c r="I386" s="333">
        <f>SUM(G382:G386)</f>
        <v>79831.200000000012</v>
      </c>
    </row>
    <row r="387" spans="1:9" hidden="1">
      <c r="A387" s="334"/>
      <c r="B387" s="335"/>
      <c r="C387" s="336"/>
      <c r="D387" s="336"/>
      <c r="E387" s="336"/>
      <c r="F387" s="338"/>
      <c r="G387" s="338"/>
      <c r="H387" s="338"/>
      <c r="I387" s="339"/>
    </row>
    <row r="388" spans="1:9" hidden="1">
      <c r="A388" s="329"/>
      <c r="B388" s="330"/>
      <c r="C388" s="331"/>
      <c r="D388" s="331"/>
      <c r="E388" s="331" t="s">
        <v>410</v>
      </c>
      <c r="F388" s="332"/>
      <c r="G388" s="332"/>
      <c r="H388" s="332"/>
      <c r="I388" s="333">
        <f>SUM(H388:H388)</f>
        <v>0</v>
      </c>
    </row>
    <row r="389" spans="1:9" hidden="1">
      <c r="A389" s="334"/>
      <c r="B389" s="335"/>
      <c r="C389" s="336"/>
      <c r="D389" s="336"/>
      <c r="E389" s="336"/>
      <c r="F389" s="338"/>
      <c r="G389" s="338"/>
      <c r="H389" s="338"/>
      <c r="I389" s="339"/>
    </row>
    <row r="390" spans="1:9" hidden="1">
      <c r="A390" s="334"/>
      <c r="B390" s="335">
        <v>1</v>
      </c>
      <c r="C390" s="336" t="s">
        <v>446</v>
      </c>
      <c r="D390" s="336" t="s">
        <v>9</v>
      </c>
      <c r="E390" s="336"/>
      <c r="F390" s="338">
        <v>25000</v>
      </c>
      <c r="G390" s="338">
        <f>F390*B390</f>
        <v>25000</v>
      </c>
      <c r="H390" s="338"/>
      <c r="I390" s="339"/>
    </row>
    <row r="391" spans="1:9" hidden="1">
      <c r="A391" s="340"/>
      <c r="B391" s="330"/>
      <c r="C391" s="331"/>
      <c r="D391" s="331"/>
      <c r="E391" s="331" t="s">
        <v>411</v>
      </c>
      <c r="F391" s="332"/>
      <c r="G391" s="332"/>
      <c r="H391" s="332"/>
      <c r="I391" s="333">
        <f>SUM(G390:G391)</f>
        <v>25000</v>
      </c>
    </row>
    <row r="392" spans="1:9" hidden="1">
      <c r="A392" s="340"/>
      <c r="B392" s="330"/>
      <c r="C392" s="331"/>
      <c r="D392" s="331" t="s">
        <v>412</v>
      </c>
      <c r="E392" s="331"/>
      <c r="F392" s="332"/>
      <c r="G392" s="332"/>
      <c r="H392" s="332"/>
      <c r="I392" s="333">
        <f>SUM(I382:I391)</f>
        <v>104831.20000000001</v>
      </c>
    </row>
    <row r="393" spans="1:9" hidden="1">
      <c r="A393" s="340"/>
      <c r="B393" s="330"/>
      <c r="C393" s="331"/>
      <c r="D393" s="331" t="s">
        <v>413</v>
      </c>
      <c r="E393" s="331"/>
      <c r="F393" s="332"/>
      <c r="G393" s="332"/>
      <c r="H393" s="332"/>
      <c r="I393" s="333">
        <f>I392*0.1</f>
        <v>10483.120000000003</v>
      </c>
    </row>
    <row r="394" spans="1:9" hidden="1">
      <c r="A394" s="360"/>
      <c r="B394" s="361"/>
      <c r="C394" s="362"/>
      <c r="D394" s="363" t="s">
        <v>414</v>
      </c>
      <c r="E394" s="362"/>
      <c r="F394" s="364"/>
      <c r="G394" s="364"/>
      <c r="H394" s="364"/>
      <c r="I394" s="365">
        <f>ROUNDDOWN(I393+I392,0)</f>
        <v>115314</v>
      </c>
    </row>
    <row r="395" spans="1:9" ht="13.5" hidden="1" thickBot="1">
      <c r="A395" s="366"/>
      <c r="B395" s="367"/>
      <c r="C395" s="368"/>
      <c r="D395" s="369"/>
      <c r="E395" s="368"/>
      <c r="F395" s="370"/>
      <c r="G395" s="370"/>
      <c r="H395" s="370"/>
      <c r="I395" s="371"/>
    </row>
    <row r="396" spans="1:9" ht="14.25" hidden="1" thickTop="1" thickBot="1">
      <c r="A396" s="309" t="s">
        <v>0</v>
      </c>
      <c r="B396" s="380" t="s">
        <v>397</v>
      </c>
      <c r="C396" s="310" t="s">
        <v>398</v>
      </c>
      <c r="D396" s="310" t="s">
        <v>1</v>
      </c>
      <c r="E396" s="311"/>
      <c r="F396" s="381" t="s">
        <v>399</v>
      </c>
      <c r="G396" s="381" t="s">
        <v>400</v>
      </c>
      <c r="H396" s="381" t="s">
        <v>401</v>
      </c>
      <c r="I396" s="382" t="s">
        <v>402</v>
      </c>
    </row>
    <row r="397" spans="1:9" ht="13.5" hidden="1" thickTop="1">
      <c r="A397" s="351">
        <v>23</v>
      </c>
      <c r="B397" s="352" t="s">
        <v>856</v>
      </c>
      <c r="C397" s="353"/>
      <c r="D397" s="353"/>
      <c r="E397" s="353"/>
      <c r="F397" s="354"/>
      <c r="G397" s="354"/>
      <c r="H397" s="354"/>
      <c r="I397" s="355"/>
    </row>
    <row r="398" spans="1:9" hidden="1">
      <c r="A398" s="334"/>
      <c r="B398" s="335">
        <f>0.07*0.05</f>
        <v>3.5000000000000005E-3</v>
      </c>
      <c r="C398" s="336"/>
      <c r="D398" s="336" t="s">
        <v>3</v>
      </c>
      <c r="E398" s="336"/>
      <c r="F398" s="337">
        <f>[2]Hardas!$E$10</f>
        <v>100000</v>
      </c>
      <c r="G398" s="338">
        <f>F398*B398</f>
        <v>350.00000000000006</v>
      </c>
      <c r="H398" s="338"/>
      <c r="I398" s="339"/>
    </row>
    <row r="399" spans="1:9" hidden="1">
      <c r="A399" s="334"/>
      <c r="B399" s="335">
        <f>0.029*0.05</f>
        <v>1.4500000000000001E-3</v>
      </c>
      <c r="C399" s="336"/>
      <c r="D399" s="336" t="s">
        <v>4</v>
      </c>
      <c r="E399" s="336"/>
      <c r="F399" s="338">
        <f>[2]Hardas!$E$11</f>
        <v>91000</v>
      </c>
      <c r="G399" s="338">
        <f>F399*B399</f>
        <v>131.95000000000002</v>
      </c>
      <c r="H399" s="338"/>
      <c r="I399" s="339"/>
    </row>
    <row r="400" spans="1:9" hidden="1">
      <c r="A400" s="334"/>
      <c r="B400" s="335">
        <f>0.2*0.05</f>
        <v>1.0000000000000002E-2</v>
      </c>
      <c r="C400" s="336"/>
      <c r="D400" s="336" t="s">
        <v>428</v>
      </c>
      <c r="E400" s="336"/>
      <c r="F400" s="338">
        <f>[2]Hardas!$E$14</f>
        <v>82000</v>
      </c>
      <c r="G400" s="338">
        <f>F400*B400</f>
        <v>820.00000000000011</v>
      </c>
      <c r="H400" s="338"/>
      <c r="I400" s="339"/>
    </row>
    <row r="401" spans="1:9" hidden="1">
      <c r="A401" s="334"/>
      <c r="B401" s="335">
        <f>1.25*0.05</f>
        <v>6.25E-2</v>
      </c>
      <c r="C401" s="336"/>
      <c r="D401" s="336" t="s">
        <v>6</v>
      </c>
      <c r="E401" s="336"/>
      <c r="F401" s="338">
        <f>[2]Hardas!$E$21</f>
        <v>59000</v>
      </c>
      <c r="G401" s="338">
        <f>F401*B401</f>
        <v>3687.5</v>
      </c>
      <c r="H401" s="338"/>
      <c r="I401" s="339"/>
    </row>
    <row r="402" spans="1:9" hidden="1">
      <c r="A402" s="329"/>
      <c r="B402" s="330"/>
      <c r="C402" s="331"/>
      <c r="D402" s="331"/>
      <c r="E402" s="331" t="s">
        <v>405</v>
      </c>
      <c r="F402" s="332"/>
      <c r="G402" s="332"/>
      <c r="H402" s="332"/>
      <c r="I402" s="333">
        <f>SUM(G398:G402)</f>
        <v>4989.4500000000007</v>
      </c>
    </row>
    <row r="403" spans="1:9" hidden="1">
      <c r="A403" s="334"/>
      <c r="B403" s="335"/>
      <c r="C403" s="336"/>
      <c r="D403" s="336"/>
      <c r="E403" s="336"/>
      <c r="F403" s="338"/>
      <c r="G403" s="338"/>
      <c r="H403" s="338"/>
      <c r="I403" s="339"/>
    </row>
    <row r="404" spans="1:9" hidden="1">
      <c r="A404" s="334"/>
      <c r="B404" s="335">
        <v>1</v>
      </c>
      <c r="C404" s="336"/>
      <c r="D404" s="336" t="s">
        <v>18</v>
      </c>
      <c r="E404" s="336"/>
      <c r="F404" s="338">
        <f>[2]Hardas!$E$245</f>
        <v>85000</v>
      </c>
      <c r="G404" s="338"/>
      <c r="H404" s="338">
        <f>F404*B404</f>
        <v>85000</v>
      </c>
      <c r="I404" s="339"/>
    </row>
    <row r="405" spans="1:9" hidden="1">
      <c r="A405" s="329"/>
      <c r="B405" s="330"/>
      <c r="C405" s="331"/>
      <c r="D405" s="331"/>
      <c r="E405" s="331" t="s">
        <v>410</v>
      </c>
      <c r="F405" s="332"/>
      <c r="G405" s="332"/>
      <c r="H405" s="332"/>
      <c r="I405" s="333">
        <f>SUM(H404:H405)</f>
        <v>85000</v>
      </c>
    </row>
    <row r="406" spans="1:9" hidden="1">
      <c r="A406" s="334"/>
      <c r="B406" s="335"/>
      <c r="C406" s="336"/>
      <c r="D406" s="336"/>
      <c r="E406" s="336"/>
      <c r="F406" s="338"/>
      <c r="G406" s="338"/>
      <c r="H406" s="338"/>
      <c r="I406" s="339"/>
    </row>
    <row r="407" spans="1:9" hidden="1">
      <c r="A407" s="334"/>
      <c r="B407" s="335"/>
      <c r="C407" s="336"/>
      <c r="D407" s="336"/>
      <c r="E407" s="336"/>
      <c r="F407" s="338"/>
      <c r="G407" s="338"/>
      <c r="H407" s="338"/>
      <c r="I407" s="339"/>
    </row>
    <row r="408" spans="1:9" hidden="1">
      <c r="A408" s="340"/>
      <c r="B408" s="330"/>
      <c r="C408" s="331"/>
      <c r="D408" s="331"/>
      <c r="E408" s="331" t="s">
        <v>411</v>
      </c>
      <c r="F408" s="332"/>
      <c r="G408" s="332"/>
      <c r="H408" s="332"/>
      <c r="I408" s="333"/>
    </row>
    <row r="409" spans="1:9" hidden="1">
      <c r="A409" s="340"/>
      <c r="B409" s="330"/>
      <c r="C409" s="331"/>
      <c r="D409" s="331" t="s">
        <v>412</v>
      </c>
      <c r="E409" s="331"/>
      <c r="F409" s="332"/>
      <c r="G409" s="332"/>
      <c r="H409" s="332"/>
      <c r="I409" s="333">
        <f>SUM(I398:I408)</f>
        <v>89989.45</v>
      </c>
    </row>
    <row r="410" spans="1:9" hidden="1">
      <c r="A410" s="340"/>
      <c r="B410" s="330"/>
      <c r="C410" s="331"/>
      <c r="D410" s="331" t="s">
        <v>413</v>
      </c>
      <c r="E410" s="331"/>
      <c r="F410" s="332"/>
      <c r="G410" s="332"/>
      <c r="H410" s="332"/>
      <c r="I410" s="333">
        <f>I409*0.1</f>
        <v>8998.9449999999997</v>
      </c>
    </row>
    <row r="411" spans="1:9" hidden="1">
      <c r="A411" s="360"/>
      <c r="B411" s="361"/>
      <c r="C411" s="362"/>
      <c r="D411" s="363" t="s">
        <v>414</v>
      </c>
      <c r="E411" s="362"/>
      <c r="F411" s="364"/>
      <c r="G411" s="364"/>
      <c r="H411" s="364"/>
      <c r="I411" s="365">
        <f>ROUNDDOWN(I410+I409,0)</f>
        <v>98988</v>
      </c>
    </row>
    <row r="412" spans="1:9" ht="13.5" hidden="1" thickBot="1">
      <c r="A412" s="366"/>
      <c r="B412" s="367"/>
      <c r="C412" s="368"/>
      <c r="D412" s="369"/>
      <c r="E412" s="368"/>
      <c r="F412" s="370"/>
      <c r="G412" s="370"/>
      <c r="H412" s="370"/>
      <c r="I412" s="371"/>
    </row>
    <row r="413" spans="1:9" ht="14.25" hidden="1" thickTop="1" thickBot="1">
      <c r="A413" s="309" t="s">
        <v>0</v>
      </c>
      <c r="B413" s="380" t="s">
        <v>397</v>
      </c>
      <c r="C413" s="310" t="s">
        <v>398</v>
      </c>
      <c r="D413" s="310" t="s">
        <v>1</v>
      </c>
      <c r="E413" s="311"/>
      <c r="F413" s="381" t="s">
        <v>399</v>
      </c>
      <c r="G413" s="381" t="s">
        <v>400</v>
      </c>
      <c r="H413" s="381" t="s">
        <v>401</v>
      </c>
      <c r="I413" s="382" t="s">
        <v>402</v>
      </c>
    </row>
    <row r="414" spans="1:9" ht="13.5" hidden="1" thickTop="1">
      <c r="A414" s="351">
        <v>24</v>
      </c>
      <c r="B414" s="352" t="s">
        <v>471</v>
      </c>
      <c r="C414" s="353"/>
      <c r="D414" s="353"/>
      <c r="E414" s="353"/>
      <c r="F414" s="354"/>
      <c r="G414" s="354"/>
      <c r="H414" s="354"/>
      <c r="I414" s="355"/>
    </row>
    <row r="415" spans="1:9" hidden="1">
      <c r="A415" s="334"/>
      <c r="B415" s="335">
        <v>1.4999999999999999E-2</v>
      </c>
      <c r="C415" s="336"/>
      <c r="D415" s="336" t="s">
        <v>3</v>
      </c>
      <c r="E415" s="336"/>
      <c r="F415" s="337">
        <f>[2]Hardas!$E$10</f>
        <v>100000</v>
      </c>
      <c r="G415" s="338">
        <f>F415*B415</f>
        <v>1500</v>
      </c>
      <c r="H415" s="338"/>
      <c r="I415" s="339"/>
    </row>
    <row r="416" spans="1:9" hidden="1">
      <c r="A416" s="334"/>
      <c r="B416" s="335">
        <v>1.2E-2</v>
      </c>
      <c r="C416" s="336"/>
      <c r="D416" s="336" t="s">
        <v>4</v>
      </c>
      <c r="E416" s="336"/>
      <c r="F416" s="338">
        <f>[2]Hardas!$E$11</f>
        <v>91000</v>
      </c>
      <c r="G416" s="338">
        <f>F416*B416</f>
        <v>1092</v>
      </c>
      <c r="H416" s="338"/>
      <c r="I416" s="339"/>
    </row>
    <row r="417" spans="1:9" hidden="1">
      <c r="A417" s="334"/>
      <c r="B417" s="335">
        <v>0.11</v>
      </c>
      <c r="C417" s="336"/>
      <c r="D417" s="336" t="s">
        <v>428</v>
      </c>
      <c r="E417" s="336"/>
      <c r="F417" s="338">
        <f>[2]Hardas!$E$14</f>
        <v>82000</v>
      </c>
      <c r="G417" s="338">
        <f>F417*B417</f>
        <v>9020</v>
      </c>
      <c r="H417" s="338"/>
      <c r="I417" s="339"/>
    </row>
    <row r="418" spans="1:9" hidden="1">
      <c r="A418" s="334"/>
      <c r="B418" s="335">
        <v>0.36</v>
      </c>
      <c r="C418" s="336"/>
      <c r="D418" s="336" t="s">
        <v>6</v>
      </c>
      <c r="E418" s="336"/>
      <c r="F418" s="338">
        <f>[2]Hardas!$E$21</f>
        <v>59000</v>
      </c>
      <c r="G418" s="338">
        <f>F418*B418</f>
        <v>21240</v>
      </c>
      <c r="H418" s="338"/>
      <c r="I418" s="339"/>
    </row>
    <row r="419" spans="1:9" hidden="1">
      <c r="A419" s="329"/>
      <c r="B419" s="330"/>
      <c r="C419" s="331"/>
      <c r="D419" s="331"/>
      <c r="E419" s="331" t="s">
        <v>405</v>
      </c>
      <c r="F419" s="332"/>
      <c r="G419" s="332"/>
      <c r="H419" s="332"/>
      <c r="I419" s="333">
        <f>SUM(G415:G419)</f>
        <v>32852</v>
      </c>
    </row>
    <row r="420" spans="1:9" hidden="1">
      <c r="A420" s="334"/>
      <c r="B420" s="335"/>
      <c r="C420" s="336"/>
      <c r="D420" s="336"/>
      <c r="E420" s="336"/>
      <c r="F420" s="338"/>
      <c r="G420" s="338"/>
      <c r="H420" s="338"/>
      <c r="I420" s="339"/>
    </row>
    <row r="421" spans="1:9" hidden="1">
      <c r="A421" s="334"/>
      <c r="B421" s="335">
        <v>1</v>
      </c>
      <c r="C421" s="336" t="s">
        <v>453</v>
      </c>
      <c r="D421" s="336" t="s">
        <v>472</v>
      </c>
      <c r="E421" s="336"/>
      <c r="F421" s="338">
        <f>[2]Hardas!$E$146</f>
        <v>120000</v>
      </c>
      <c r="G421" s="338"/>
      <c r="H421" s="338">
        <f>F421*B421</f>
        <v>120000</v>
      </c>
      <c r="I421" s="339"/>
    </row>
    <row r="422" spans="1:9" hidden="1">
      <c r="A422" s="329"/>
      <c r="B422" s="330"/>
      <c r="C422" s="331"/>
      <c r="D422" s="331"/>
      <c r="E422" s="331" t="s">
        <v>410</v>
      </c>
      <c r="F422" s="332"/>
      <c r="G422" s="332"/>
      <c r="H422" s="332"/>
      <c r="I422" s="333">
        <f>SUM(H421:H422)</f>
        <v>120000</v>
      </c>
    </row>
    <row r="423" spans="1:9" hidden="1">
      <c r="A423" s="334"/>
      <c r="B423" s="335"/>
      <c r="C423" s="336"/>
      <c r="D423" s="336"/>
      <c r="E423" s="336"/>
      <c r="F423" s="338"/>
      <c r="G423" s="338"/>
      <c r="H423" s="338"/>
      <c r="I423" s="339"/>
    </row>
    <row r="424" spans="1:9" hidden="1">
      <c r="A424" s="334"/>
      <c r="B424" s="335"/>
      <c r="C424" s="336"/>
      <c r="D424" s="336"/>
      <c r="E424" s="336"/>
      <c r="F424" s="338"/>
      <c r="G424" s="338"/>
      <c r="H424" s="338"/>
      <c r="I424" s="339"/>
    </row>
    <row r="425" spans="1:9" hidden="1">
      <c r="A425" s="334"/>
      <c r="B425" s="335"/>
      <c r="C425" s="336"/>
      <c r="D425" s="336"/>
      <c r="E425" s="336"/>
      <c r="F425" s="338"/>
      <c r="G425" s="338"/>
      <c r="H425" s="338"/>
      <c r="I425" s="339"/>
    </row>
    <row r="426" spans="1:9" hidden="1">
      <c r="A426" s="340"/>
      <c r="B426" s="330"/>
      <c r="C426" s="331"/>
      <c r="D426" s="331"/>
      <c r="E426" s="331" t="s">
        <v>411</v>
      </c>
      <c r="F426" s="332"/>
      <c r="G426" s="332"/>
      <c r="H426" s="332"/>
      <c r="I426" s="333"/>
    </row>
    <row r="427" spans="1:9" hidden="1">
      <c r="A427" s="340"/>
      <c r="B427" s="330"/>
      <c r="C427" s="331"/>
      <c r="D427" s="331" t="s">
        <v>412</v>
      </c>
      <c r="E427" s="331"/>
      <c r="F427" s="332"/>
      <c r="G427" s="332"/>
      <c r="H427" s="332"/>
      <c r="I427" s="333">
        <f>SUM(I415:I426)</f>
        <v>152852</v>
      </c>
    </row>
    <row r="428" spans="1:9" hidden="1">
      <c r="A428" s="340"/>
      <c r="B428" s="330"/>
      <c r="C428" s="331"/>
      <c r="D428" s="331" t="s">
        <v>413</v>
      </c>
      <c r="E428" s="331"/>
      <c r="F428" s="332"/>
      <c r="G428" s="332"/>
      <c r="H428" s="332"/>
      <c r="I428" s="333">
        <f>I427*0.1</f>
        <v>15285.2</v>
      </c>
    </row>
    <row r="429" spans="1:9" hidden="1">
      <c r="A429" s="360"/>
      <c r="B429" s="361"/>
      <c r="C429" s="362"/>
      <c r="D429" s="363" t="s">
        <v>414</v>
      </c>
      <c r="E429" s="362"/>
      <c r="F429" s="364"/>
      <c r="G429" s="364"/>
      <c r="H429" s="364"/>
      <c r="I429" s="365">
        <f>ROUNDDOWN(I428+I427,0)</f>
        <v>168137</v>
      </c>
    </row>
    <row r="430" spans="1:9" ht="13.5" hidden="1" thickBot="1">
      <c r="A430" s="366"/>
      <c r="B430" s="367"/>
      <c r="C430" s="368"/>
      <c r="D430" s="369"/>
      <c r="E430" s="368"/>
      <c r="F430" s="370"/>
      <c r="G430" s="370"/>
      <c r="H430" s="370"/>
      <c r="I430" s="371"/>
    </row>
    <row r="431" spans="1:9" ht="14.25" hidden="1" thickTop="1" thickBot="1">
      <c r="A431" s="309" t="s">
        <v>0</v>
      </c>
      <c r="B431" s="380" t="s">
        <v>397</v>
      </c>
      <c r="C431" s="310" t="s">
        <v>398</v>
      </c>
      <c r="D431" s="310" t="s">
        <v>1</v>
      </c>
      <c r="E431" s="311"/>
      <c r="F431" s="381" t="s">
        <v>399</v>
      </c>
      <c r="G431" s="381" t="s">
        <v>400</v>
      </c>
      <c r="H431" s="381" t="s">
        <v>401</v>
      </c>
      <c r="I431" s="382" t="s">
        <v>402</v>
      </c>
    </row>
    <row r="432" spans="1:9" ht="13.5" hidden="1" thickTop="1">
      <c r="A432" s="351">
        <v>25</v>
      </c>
      <c r="B432" s="352" t="s">
        <v>473</v>
      </c>
      <c r="C432" s="353"/>
      <c r="D432" s="353"/>
      <c r="E432" s="353"/>
      <c r="F432" s="354"/>
      <c r="G432" s="354"/>
      <c r="H432" s="354"/>
      <c r="I432" s="355"/>
    </row>
    <row r="433" spans="1:9" hidden="1">
      <c r="A433" s="334"/>
      <c r="B433" s="335">
        <v>1.4999999999999999E-2</v>
      </c>
      <c r="C433" s="336"/>
      <c r="D433" s="336" t="s">
        <v>3</v>
      </c>
      <c r="E433" s="336"/>
      <c r="F433" s="337">
        <f>[2]Hardas!$E$10</f>
        <v>100000</v>
      </c>
      <c r="G433" s="338">
        <f>F433*B433</f>
        <v>1500</v>
      </c>
      <c r="H433" s="338"/>
      <c r="I433" s="339"/>
    </row>
    <row r="434" spans="1:9" hidden="1">
      <c r="A434" s="334"/>
      <c r="B434" s="335">
        <v>1.2E-2</v>
      </c>
      <c r="C434" s="336"/>
      <c r="D434" s="336" t="s">
        <v>4</v>
      </c>
      <c r="E434" s="336"/>
      <c r="F434" s="338">
        <f>[2]Hardas!$E$11</f>
        <v>91000</v>
      </c>
      <c r="G434" s="338">
        <f>F434*B434</f>
        <v>1092</v>
      </c>
      <c r="H434" s="338"/>
      <c r="I434" s="339"/>
    </row>
    <row r="435" spans="1:9" hidden="1">
      <c r="A435" s="334"/>
      <c r="B435" s="335">
        <v>0.11</v>
      </c>
      <c r="C435" s="336"/>
      <c r="D435" s="336" t="s">
        <v>428</v>
      </c>
      <c r="E435" s="336"/>
      <c r="F435" s="338">
        <f>[2]Hardas!$E$14</f>
        <v>82000</v>
      </c>
      <c r="G435" s="338">
        <f>F435*B435</f>
        <v>9020</v>
      </c>
      <c r="H435" s="338"/>
      <c r="I435" s="339"/>
    </row>
    <row r="436" spans="1:9" hidden="1">
      <c r="A436" s="334"/>
      <c r="B436" s="335">
        <v>0.36</v>
      </c>
      <c r="C436" s="336"/>
      <c r="D436" s="336" t="s">
        <v>6</v>
      </c>
      <c r="E436" s="336"/>
      <c r="F436" s="338">
        <f>[2]Hardas!$E$21</f>
        <v>59000</v>
      </c>
      <c r="G436" s="338">
        <f>F436*B436</f>
        <v>21240</v>
      </c>
      <c r="H436" s="338"/>
      <c r="I436" s="339"/>
    </row>
    <row r="437" spans="1:9" hidden="1">
      <c r="A437" s="329"/>
      <c r="B437" s="330"/>
      <c r="C437" s="331"/>
      <c r="D437" s="331"/>
      <c r="E437" s="331" t="s">
        <v>405</v>
      </c>
      <c r="F437" s="332"/>
      <c r="G437" s="332"/>
      <c r="H437" s="332"/>
      <c r="I437" s="333">
        <f>SUM(G433:G437)</f>
        <v>32852</v>
      </c>
    </row>
    <row r="438" spans="1:9" hidden="1">
      <c r="A438" s="334"/>
      <c r="B438" s="335"/>
      <c r="C438" s="336"/>
      <c r="D438" s="336"/>
      <c r="E438" s="336"/>
      <c r="F438" s="338"/>
      <c r="G438" s="338"/>
      <c r="H438" s="338"/>
      <c r="I438" s="339"/>
    </row>
    <row r="439" spans="1:9" hidden="1">
      <c r="A439" s="334"/>
      <c r="B439" s="335">
        <v>70</v>
      </c>
      <c r="C439" s="336" t="s">
        <v>433</v>
      </c>
      <c r="D439" s="336" t="s">
        <v>474</v>
      </c>
      <c r="E439" s="336"/>
      <c r="F439" s="338">
        <f>[2]Hardas!$E$57</f>
        <v>610</v>
      </c>
      <c r="G439" s="338"/>
      <c r="H439" s="338">
        <f>F439*B439</f>
        <v>42700</v>
      </c>
      <c r="I439" s="339"/>
    </row>
    <row r="440" spans="1:9" hidden="1">
      <c r="A440" s="334"/>
      <c r="B440" s="335">
        <v>4.5</v>
      </c>
      <c r="C440" s="336" t="s">
        <v>7</v>
      </c>
      <c r="D440" s="336" t="s">
        <v>467</v>
      </c>
      <c r="E440" s="336"/>
      <c r="F440" s="338">
        <f>[2]Hardas!$E$40</f>
        <v>1050</v>
      </c>
      <c r="G440" s="338"/>
      <c r="H440" s="338">
        <f>F440*B440</f>
        <v>4725</v>
      </c>
      <c r="I440" s="339"/>
    </row>
    <row r="441" spans="1:9" hidden="1">
      <c r="A441" s="334"/>
      <c r="B441" s="335">
        <v>0.05</v>
      </c>
      <c r="C441" s="336" t="s">
        <v>406</v>
      </c>
      <c r="D441" s="336" t="s">
        <v>432</v>
      </c>
      <c r="E441" s="336"/>
      <c r="F441" s="338">
        <f>[2]Hardas!$E$28</f>
        <v>115000</v>
      </c>
      <c r="G441" s="338"/>
      <c r="H441" s="338">
        <f>F441*B441</f>
        <v>5750</v>
      </c>
      <c r="I441" s="339"/>
    </row>
    <row r="442" spans="1:9" hidden="1">
      <c r="A442" s="329"/>
      <c r="B442" s="330"/>
      <c r="C442" s="331"/>
      <c r="D442" s="331"/>
      <c r="E442" s="331" t="s">
        <v>410</v>
      </c>
      <c r="F442" s="332"/>
      <c r="G442" s="332"/>
      <c r="H442" s="332"/>
      <c r="I442" s="333">
        <f>SUM(H439:H442)</f>
        <v>53175</v>
      </c>
    </row>
    <row r="443" spans="1:9" hidden="1">
      <c r="A443" s="334"/>
      <c r="B443" s="335"/>
      <c r="C443" s="336"/>
      <c r="D443" s="336"/>
      <c r="E443" s="336"/>
      <c r="F443" s="338"/>
      <c r="G443" s="338"/>
      <c r="H443" s="338"/>
      <c r="I443" s="339"/>
    </row>
    <row r="444" spans="1:9" hidden="1">
      <c r="A444" s="334"/>
      <c r="B444" s="335"/>
      <c r="C444" s="336"/>
      <c r="D444" s="336"/>
      <c r="E444" s="336"/>
      <c r="F444" s="338"/>
      <c r="G444" s="338"/>
      <c r="H444" s="338"/>
      <c r="I444" s="339"/>
    </row>
    <row r="445" spans="1:9" hidden="1">
      <c r="A445" s="334"/>
      <c r="B445" s="335"/>
      <c r="C445" s="336"/>
      <c r="D445" s="336"/>
      <c r="E445" s="336"/>
      <c r="F445" s="338"/>
      <c r="G445" s="338"/>
      <c r="H445" s="338"/>
      <c r="I445" s="339"/>
    </row>
    <row r="446" spans="1:9" hidden="1">
      <c r="A446" s="340"/>
      <c r="B446" s="330"/>
      <c r="C446" s="331"/>
      <c r="D446" s="331"/>
      <c r="E446" s="331" t="s">
        <v>411</v>
      </c>
      <c r="F446" s="332"/>
      <c r="G446" s="332"/>
      <c r="H446" s="332"/>
      <c r="I446" s="333"/>
    </row>
    <row r="447" spans="1:9" hidden="1">
      <c r="A447" s="340"/>
      <c r="B447" s="330"/>
      <c r="C447" s="331"/>
      <c r="D447" s="331" t="s">
        <v>412</v>
      </c>
      <c r="E447" s="331"/>
      <c r="F447" s="332"/>
      <c r="G447" s="332"/>
      <c r="H447" s="332"/>
      <c r="I447" s="333">
        <f>SUM(I433:I446)</f>
        <v>86027</v>
      </c>
    </row>
    <row r="448" spans="1:9" hidden="1">
      <c r="A448" s="340"/>
      <c r="B448" s="330"/>
      <c r="C448" s="331"/>
      <c r="D448" s="331" t="s">
        <v>413</v>
      </c>
      <c r="E448" s="331"/>
      <c r="F448" s="332"/>
      <c r="G448" s="332"/>
      <c r="H448" s="332"/>
      <c r="I448" s="333">
        <f>I447*0.1</f>
        <v>8602.7000000000007</v>
      </c>
    </row>
    <row r="449" spans="1:9" hidden="1">
      <c r="A449" s="360"/>
      <c r="B449" s="361"/>
      <c r="C449" s="362"/>
      <c r="D449" s="363" t="s">
        <v>414</v>
      </c>
      <c r="E449" s="362"/>
      <c r="F449" s="364"/>
      <c r="G449" s="364"/>
      <c r="H449" s="364"/>
      <c r="I449" s="365">
        <f>ROUNDDOWN(I448+I447,0)</f>
        <v>94629</v>
      </c>
    </row>
    <row r="450" spans="1:9" ht="13.5" hidden="1" thickBot="1">
      <c r="A450" s="366"/>
      <c r="B450" s="367"/>
      <c r="C450" s="368"/>
      <c r="D450" s="369"/>
      <c r="E450" s="368"/>
      <c r="F450" s="370"/>
      <c r="G450" s="370"/>
      <c r="H450" s="370"/>
      <c r="I450" s="371"/>
    </row>
    <row r="451" spans="1:9" ht="14.25" hidden="1" thickTop="1" thickBot="1">
      <c r="A451" s="309" t="s">
        <v>0</v>
      </c>
      <c r="B451" s="380" t="s">
        <v>397</v>
      </c>
      <c r="C451" s="310" t="s">
        <v>398</v>
      </c>
      <c r="D451" s="310" t="s">
        <v>1</v>
      </c>
      <c r="E451" s="311"/>
      <c r="F451" s="381" t="s">
        <v>399</v>
      </c>
      <c r="G451" s="381" t="s">
        <v>400</v>
      </c>
      <c r="H451" s="381" t="s">
        <v>401</v>
      </c>
      <c r="I451" s="382" t="s">
        <v>402</v>
      </c>
    </row>
    <row r="452" spans="1:9" ht="13.5" hidden="1" thickTop="1">
      <c r="A452" s="351">
        <v>26</v>
      </c>
      <c r="B452" s="352" t="s">
        <v>475</v>
      </c>
      <c r="C452" s="353"/>
      <c r="D452" s="353"/>
      <c r="E452" s="353"/>
      <c r="F452" s="354"/>
      <c r="G452" s="354"/>
      <c r="H452" s="354"/>
      <c r="I452" s="355"/>
    </row>
    <row r="453" spans="1:9" hidden="1">
      <c r="A453" s="334"/>
      <c r="B453" s="335">
        <v>1.7999999999999999E-2</v>
      </c>
      <c r="C453" s="336"/>
      <c r="D453" s="336" t="s">
        <v>3</v>
      </c>
      <c r="E453" s="336"/>
      <c r="F453" s="337">
        <f>[2]Hardas!$E$10</f>
        <v>100000</v>
      </c>
      <c r="G453" s="338">
        <f>F453*B453</f>
        <v>1799.9999999999998</v>
      </c>
      <c r="H453" s="338"/>
      <c r="I453" s="339"/>
    </row>
    <row r="454" spans="1:9" hidden="1">
      <c r="A454" s="334"/>
      <c r="B454" s="335">
        <v>1.2E-2</v>
      </c>
      <c r="C454" s="336"/>
      <c r="D454" s="336" t="s">
        <v>4</v>
      </c>
      <c r="E454" s="336"/>
      <c r="F454" s="338">
        <f>[2]Hardas!$E$11</f>
        <v>91000</v>
      </c>
      <c r="G454" s="338">
        <f>F454*B454</f>
        <v>1092</v>
      </c>
      <c r="H454" s="338"/>
      <c r="I454" s="339"/>
    </row>
    <row r="455" spans="1:9" hidden="1">
      <c r="A455" s="334"/>
      <c r="B455" s="335">
        <v>0.12</v>
      </c>
      <c r="C455" s="336"/>
      <c r="D455" s="336" t="s">
        <v>428</v>
      </c>
      <c r="E455" s="336"/>
      <c r="F455" s="338">
        <f>[2]Hardas!$E$14</f>
        <v>82000</v>
      </c>
      <c r="G455" s="338">
        <f>F455*B455</f>
        <v>9840</v>
      </c>
      <c r="H455" s="338"/>
      <c r="I455" s="339"/>
    </row>
    <row r="456" spans="1:9" hidden="1">
      <c r="A456" s="334"/>
      <c r="B456" s="335">
        <v>0.36</v>
      </c>
      <c r="C456" s="336"/>
      <c r="D456" s="336" t="s">
        <v>6</v>
      </c>
      <c r="E456" s="336"/>
      <c r="F456" s="338">
        <f>[2]Hardas!$E$21</f>
        <v>59000</v>
      </c>
      <c r="G456" s="338">
        <f>F456*B456</f>
        <v>21240</v>
      </c>
      <c r="H456" s="338"/>
      <c r="I456" s="339"/>
    </row>
    <row r="457" spans="1:9" hidden="1">
      <c r="A457" s="329"/>
      <c r="B457" s="330"/>
      <c r="C457" s="331"/>
      <c r="D457" s="331"/>
      <c r="E457" s="331" t="s">
        <v>405</v>
      </c>
      <c r="F457" s="332"/>
      <c r="G457" s="332"/>
      <c r="H457" s="332"/>
      <c r="I457" s="333">
        <f>SUM(G453:G457)</f>
        <v>33972</v>
      </c>
    </row>
    <row r="458" spans="1:9" hidden="1">
      <c r="A458" s="334"/>
      <c r="B458" s="335"/>
      <c r="C458" s="336"/>
      <c r="D458" s="336"/>
      <c r="E458" s="336"/>
      <c r="F458" s="338"/>
      <c r="G458" s="338"/>
      <c r="H458" s="338"/>
      <c r="I458" s="339"/>
    </row>
    <row r="459" spans="1:9" hidden="1">
      <c r="A459" s="334"/>
      <c r="B459" s="335">
        <v>70</v>
      </c>
      <c r="C459" s="336" t="s">
        <v>433</v>
      </c>
      <c r="D459" s="336" t="s">
        <v>474</v>
      </c>
      <c r="E459" s="336"/>
      <c r="F459" s="338">
        <f>[2]Hardas!$E$57</f>
        <v>610</v>
      </c>
      <c r="G459" s="338"/>
      <c r="H459" s="338">
        <f>F459*B459</f>
        <v>42700</v>
      </c>
      <c r="I459" s="339"/>
    </row>
    <row r="460" spans="1:9" hidden="1">
      <c r="A460" s="334"/>
      <c r="B460" s="335">
        <v>3.5</v>
      </c>
      <c r="C460" s="336" t="s">
        <v>7</v>
      </c>
      <c r="D460" s="336" t="s">
        <v>467</v>
      </c>
      <c r="E460" s="336"/>
      <c r="F460" s="338">
        <f>[2]Hardas!$E$40</f>
        <v>1050</v>
      </c>
      <c r="G460" s="338"/>
      <c r="H460" s="338">
        <f>F460*B460</f>
        <v>3675</v>
      </c>
      <c r="I460" s="339"/>
    </row>
    <row r="461" spans="1:9" hidden="1">
      <c r="A461" s="334"/>
      <c r="B461" s="335">
        <v>4.4999999999999998E-2</v>
      </c>
      <c r="C461" s="336" t="s">
        <v>406</v>
      </c>
      <c r="D461" s="336" t="s">
        <v>432</v>
      </c>
      <c r="E461" s="336"/>
      <c r="F461" s="338">
        <f>[2]Hardas!$E$28</f>
        <v>115000</v>
      </c>
      <c r="G461" s="338"/>
      <c r="H461" s="338">
        <f>F461*B461</f>
        <v>5175</v>
      </c>
      <c r="I461" s="339"/>
    </row>
    <row r="462" spans="1:9" hidden="1">
      <c r="A462" s="329"/>
      <c r="B462" s="330"/>
      <c r="C462" s="331"/>
      <c r="D462" s="331"/>
      <c r="E462" s="331" t="s">
        <v>410</v>
      </c>
      <c r="F462" s="332"/>
      <c r="G462" s="332"/>
      <c r="H462" s="332"/>
      <c r="I462" s="333">
        <f>SUM(H459:H462)</f>
        <v>51550</v>
      </c>
    </row>
    <row r="463" spans="1:9" hidden="1">
      <c r="A463" s="334"/>
      <c r="B463" s="335"/>
      <c r="C463" s="336"/>
      <c r="D463" s="336"/>
      <c r="E463" s="336"/>
      <c r="F463" s="338"/>
      <c r="G463" s="338"/>
      <c r="H463" s="338"/>
      <c r="I463" s="339"/>
    </row>
    <row r="464" spans="1:9" hidden="1">
      <c r="A464" s="334"/>
      <c r="B464" s="335"/>
      <c r="C464" s="336"/>
      <c r="D464" s="336"/>
      <c r="E464" s="336"/>
      <c r="F464" s="338"/>
      <c r="G464" s="338"/>
      <c r="H464" s="338"/>
      <c r="I464" s="339"/>
    </row>
    <row r="465" spans="1:9" hidden="1">
      <c r="A465" s="329"/>
      <c r="B465" s="330"/>
      <c r="C465" s="331"/>
      <c r="D465" s="331"/>
      <c r="E465" s="331" t="s">
        <v>411</v>
      </c>
      <c r="F465" s="332"/>
      <c r="G465" s="332"/>
      <c r="H465" s="332"/>
      <c r="I465" s="333"/>
    </row>
    <row r="466" spans="1:9" hidden="1">
      <c r="A466" s="329"/>
      <c r="B466" s="330"/>
      <c r="C466" s="331"/>
      <c r="D466" s="331" t="s">
        <v>412</v>
      </c>
      <c r="E466" s="331"/>
      <c r="F466" s="332"/>
      <c r="G466" s="332"/>
      <c r="H466" s="332"/>
      <c r="I466" s="333">
        <f>SUM(I453:I465)</f>
        <v>85522</v>
      </c>
    </row>
    <row r="467" spans="1:9" hidden="1">
      <c r="A467" s="329"/>
      <c r="B467" s="330"/>
      <c r="C467" s="331"/>
      <c r="D467" s="331" t="s">
        <v>413</v>
      </c>
      <c r="E467" s="331"/>
      <c r="F467" s="332"/>
      <c r="G467" s="332"/>
      <c r="H467" s="332"/>
      <c r="I467" s="333">
        <f>I466*0.1</f>
        <v>8552.2000000000007</v>
      </c>
    </row>
    <row r="468" spans="1:9" hidden="1">
      <c r="A468" s="385"/>
      <c r="B468" s="361"/>
      <c r="C468" s="362"/>
      <c r="D468" s="363" t="s">
        <v>414</v>
      </c>
      <c r="E468" s="362"/>
      <c r="F468" s="364"/>
      <c r="G468" s="364"/>
      <c r="H468" s="364"/>
      <c r="I468" s="365">
        <f>ROUNDDOWN(I467+I466,0)</f>
        <v>94074</v>
      </c>
    </row>
    <row r="469" spans="1:9" ht="13.5" hidden="1" thickBot="1">
      <c r="A469" s="386"/>
      <c r="B469" s="367"/>
      <c r="C469" s="368"/>
      <c r="D469" s="369"/>
      <c r="E469" s="368"/>
      <c r="F469" s="370"/>
      <c r="G469" s="370"/>
      <c r="H469" s="370"/>
      <c r="I469" s="371"/>
    </row>
    <row r="470" spans="1:9" ht="14.25" hidden="1" thickTop="1" thickBot="1">
      <c r="A470" s="309" t="s">
        <v>0</v>
      </c>
      <c r="B470" s="380" t="s">
        <v>397</v>
      </c>
      <c r="C470" s="310" t="s">
        <v>398</v>
      </c>
      <c r="D470" s="310" t="s">
        <v>1</v>
      </c>
      <c r="E470" s="311"/>
      <c r="F470" s="381" t="s">
        <v>399</v>
      </c>
      <c r="G470" s="381" t="s">
        <v>400</v>
      </c>
      <c r="H470" s="381" t="s">
        <v>401</v>
      </c>
      <c r="I470" s="382" t="s">
        <v>402</v>
      </c>
    </row>
    <row r="471" spans="1:9" ht="13.5" hidden="1" thickTop="1">
      <c r="A471" s="351">
        <v>27</v>
      </c>
      <c r="B471" s="352" t="s">
        <v>476</v>
      </c>
      <c r="C471" s="353"/>
      <c r="D471" s="353"/>
      <c r="E471" s="353"/>
      <c r="F471" s="354"/>
      <c r="G471" s="354"/>
      <c r="H471" s="354"/>
      <c r="I471" s="355"/>
    </row>
    <row r="472" spans="1:9" hidden="1">
      <c r="A472" s="334"/>
      <c r="B472" s="335">
        <v>0.01</v>
      </c>
      <c r="C472" s="336"/>
      <c r="D472" s="336" t="s">
        <v>3</v>
      </c>
      <c r="E472" s="336"/>
      <c r="F472" s="337">
        <f>[2]Hardas!$E$10</f>
        <v>100000</v>
      </c>
      <c r="G472" s="338">
        <f>F472*B472</f>
        <v>1000</v>
      </c>
      <c r="H472" s="338"/>
      <c r="I472" s="339"/>
    </row>
    <row r="473" spans="1:9" hidden="1">
      <c r="A473" s="334"/>
      <c r="B473" s="335">
        <v>1.4999999999999999E-2</v>
      </c>
      <c r="C473" s="336"/>
      <c r="D473" s="336" t="s">
        <v>4</v>
      </c>
      <c r="E473" s="336"/>
      <c r="F473" s="338">
        <f>[2]Hardas!$E$11</f>
        <v>91000</v>
      </c>
      <c r="G473" s="338">
        <f>F473*B473</f>
        <v>1365</v>
      </c>
      <c r="H473" s="338"/>
      <c r="I473" s="339"/>
    </row>
    <row r="474" spans="1:9" hidden="1">
      <c r="A474" s="334"/>
      <c r="B474" s="335">
        <v>0.15</v>
      </c>
      <c r="C474" s="336"/>
      <c r="D474" s="336" t="s">
        <v>428</v>
      </c>
      <c r="E474" s="336"/>
      <c r="F474" s="338">
        <f>[2]Hardas!$E$14</f>
        <v>82000</v>
      </c>
      <c r="G474" s="338">
        <f>F474*B474</f>
        <v>12300</v>
      </c>
      <c r="H474" s="338"/>
      <c r="I474" s="339"/>
    </row>
    <row r="475" spans="1:9" hidden="1">
      <c r="A475" s="334"/>
      <c r="B475" s="335">
        <v>0.2</v>
      </c>
      <c r="C475" s="336"/>
      <c r="D475" s="336" t="s">
        <v>6</v>
      </c>
      <c r="E475" s="336"/>
      <c r="F475" s="338">
        <f>[2]Hardas!$E$21</f>
        <v>59000</v>
      </c>
      <c r="G475" s="338">
        <f>F475*B475</f>
        <v>11800</v>
      </c>
      <c r="H475" s="338"/>
      <c r="I475" s="339"/>
    </row>
    <row r="476" spans="1:9" hidden="1">
      <c r="A476" s="329"/>
      <c r="B476" s="330"/>
      <c r="C476" s="331"/>
      <c r="D476" s="331"/>
      <c r="E476" s="331" t="s">
        <v>405</v>
      </c>
      <c r="F476" s="332"/>
      <c r="G476" s="332"/>
      <c r="H476" s="332"/>
      <c r="I476" s="333">
        <f>SUM(G472:G476)</f>
        <v>26465</v>
      </c>
    </row>
    <row r="477" spans="1:9" hidden="1">
      <c r="A477" s="334"/>
      <c r="B477" s="335">
        <v>7.7759999999999998</v>
      </c>
      <c r="C477" s="336" t="s">
        <v>7</v>
      </c>
      <c r="D477" s="336" t="s">
        <v>467</v>
      </c>
      <c r="E477" s="336"/>
      <c r="F477" s="338">
        <f>[2]Hardas!$E$40</f>
        <v>1050</v>
      </c>
      <c r="G477" s="338"/>
      <c r="H477" s="338">
        <f>F477*B477</f>
        <v>8164.8</v>
      </c>
      <c r="I477" s="339"/>
    </row>
    <row r="478" spans="1:9" hidden="1">
      <c r="A478" s="334"/>
      <c r="B478" s="335">
        <v>2.3E-2</v>
      </c>
      <c r="C478" s="336" t="s">
        <v>406</v>
      </c>
      <c r="D478" s="336" t="s">
        <v>432</v>
      </c>
      <c r="E478" s="336"/>
      <c r="F478" s="338">
        <f>[2]Hardas!$E$28</f>
        <v>115000</v>
      </c>
      <c r="G478" s="338"/>
      <c r="H478" s="338">
        <f>F478*B478</f>
        <v>2645</v>
      </c>
      <c r="I478" s="339"/>
    </row>
    <row r="479" spans="1:9" hidden="1">
      <c r="A479" s="329"/>
      <c r="B479" s="330"/>
      <c r="C479" s="331"/>
      <c r="D479" s="331"/>
      <c r="E479" s="331" t="s">
        <v>410</v>
      </c>
      <c r="F479" s="332"/>
      <c r="G479" s="332"/>
      <c r="H479" s="332"/>
      <c r="I479" s="333">
        <f>SUM(H477:H479)</f>
        <v>10809.8</v>
      </c>
    </row>
    <row r="480" spans="1:9" hidden="1">
      <c r="A480" s="334"/>
      <c r="B480" s="335"/>
      <c r="C480" s="336"/>
      <c r="D480" s="336"/>
      <c r="E480" s="336"/>
      <c r="F480" s="338"/>
      <c r="G480" s="338"/>
      <c r="H480" s="338"/>
      <c r="I480" s="339"/>
    </row>
    <row r="481" spans="1:9" hidden="1">
      <c r="A481" s="334"/>
      <c r="B481" s="335"/>
      <c r="C481" s="336"/>
      <c r="D481" s="336"/>
      <c r="E481" s="336"/>
      <c r="F481" s="338"/>
      <c r="G481" s="338"/>
      <c r="H481" s="338"/>
      <c r="I481" s="339"/>
    </row>
    <row r="482" spans="1:9" hidden="1">
      <c r="A482" s="329"/>
      <c r="B482" s="330"/>
      <c r="C482" s="331"/>
      <c r="D482" s="331"/>
      <c r="E482" s="331" t="s">
        <v>411</v>
      </c>
      <c r="F482" s="332"/>
      <c r="G482" s="332"/>
      <c r="H482" s="332"/>
      <c r="I482" s="333"/>
    </row>
    <row r="483" spans="1:9" hidden="1">
      <c r="A483" s="329"/>
      <c r="B483" s="330"/>
      <c r="C483" s="331"/>
      <c r="D483" s="331" t="s">
        <v>412</v>
      </c>
      <c r="E483" s="331"/>
      <c r="F483" s="332"/>
      <c r="G483" s="332"/>
      <c r="H483" s="332"/>
      <c r="I483" s="333">
        <f>SUM(I472:I482)</f>
        <v>37274.800000000003</v>
      </c>
    </row>
    <row r="484" spans="1:9" hidden="1">
      <c r="A484" s="329"/>
      <c r="B484" s="330"/>
      <c r="C484" s="331"/>
      <c r="D484" s="331" t="s">
        <v>413</v>
      </c>
      <c r="E484" s="331"/>
      <c r="F484" s="332"/>
      <c r="G484" s="332"/>
      <c r="H484" s="332"/>
      <c r="I484" s="333">
        <f>I483*0.1</f>
        <v>3727.4800000000005</v>
      </c>
    </row>
    <row r="485" spans="1:9" hidden="1">
      <c r="A485" s="385"/>
      <c r="B485" s="361"/>
      <c r="C485" s="362"/>
      <c r="D485" s="363" t="s">
        <v>414</v>
      </c>
      <c r="E485" s="362"/>
      <c r="F485" s="364"/>
      <c r="G485" s="364"/>
      <c r="H485" s="364"/>
      <c r="I485" s="365">
        <f>ROUNDDOWN(I484+I483,0)</f>
        <v>41002</v>
      </c>
    </row>
    <row r="486" spans="1:9" ht="13.5" hidden="1" thickBot="1">
      <c r="A486" s="386"/>
      <c r="B486" s="367"/>
      <c r="C486" s="368"/>
      <c r="D486" s="369"/>
      <c r="E486" s="368"/>
      <c r="F486" s="370"/>
      <c r="G486" s="370"/>
      <c r="H486" s="370"/>
      <c r="I486" s="371"/>
    </row>
    <row r="487" spans="1:9" ht="14.25" hidden="1" thickTop="1" thickBot="1">
      <c r="A487" s="309" t="s">
        <v>0</v>
      </c>
      <c r="B487" s="380" t="s">
        <v>397</v>
      </c>
      <c r="C487" s="310" t="s">
        <v>398</v>
      </c>
      <c r="D487" s="310" t="s">
        <v>1</v>
      </c>
      <c r="E487" s="311"/>
      <c r="F487" s="381" t="s">
        <v>399</v>
      </c>
      <c r="G487" s="381" t="s">
        <v>400</v>
      </c>
      <c r="H487" s="381" t="s">
        <v>401</v>
      </c>
      <c r="I487" s="382" t="s">
        <v>402</v>
      </c>
    </row>
    <row r="488" spans="1:9" ht="13.5" hidden="1" thickTop="1">
      <c r="A488" s="351">
        <v>28</v>
      </c>
      <c r="B488" s="352" t="s">
        <v>477</v>
      </c>
      <c r="C488" s="353"/>
      <c r="D488" s="353"/>
      <c r="E488" s="353"/>
      <c r="F488" s="354"/>
      <c r="G488" s="354"/>
      <c r="H488" s="354"/>
      <c r="I488" s="355"/>
    </row>
    <row r="489" spans="1:9" hidden="1">
      <c r="A489" s="334"/>
      <c r="B489" s="335">
        <v>0.01</v>
      </c>
      <c r="C489" s="336"/>
      <c r="D489" s="336" t="s">
        <v>3</v>
      </c>
      <c r="E489" s="336"/>
      <c r="F489" s="337">
        <f>[2]Hardas!$E$10</f>
        <v>100000</v>
      </c>
      <c r="G489" s="338">
        <f>F489*B489</f>
        <v>1000</v>
      </c>
      <c r="H489" s="338"/>
      <c r="I489" s="339"/>
    </row>
    <row r="490" spans="1:9" hidden="1">
      <c r="A490" s="334"/>
      <c r="B490" s="335">
        <v>1.4999999999999999E-2</v>
      </c>
      <c r="C490" s="336"/>
      <c r="D490" s="336" t="s">
        <v>4</v>
      </c>
      <c r="E490" s="336"/>
      <c r="F490" s="338">
        <f>[2]Hardas!$E$11</f>
        <v>91000</v>
      </c>
      <c r="G490" s="338">
        <f>F490*B490</f>
        <v>1365</v>
      </c>
      <c r="H490" s="338"/>
      <c r="I490" s="339"/>
    </row>
    <row r="491" spans="1:9" hidden="1">
      <c r="A491" s="334"/>
      <c r="B491" s="335">
        <v>0.15</v>
      </c>
      <c r="C491" s="336"/>
      <c r="D491" s="336" t="s">
        <v>428</v>
      </c>
      <c r="E491" s="336"/>
      <c r="F491" s="338">
        <f>[2]Hardas!$E$14</f>
        <v>82000</v>
      </c>
      <c r="G491" s="338">
        <f>F491*B491</f>
        <v>12300</v>
      </c>
      <c r="H491" s="338"/>
      <c r="I491" s="339"/>
    </row>
    <row r="492" spans="1:9" hidden="1">
      <c r="A492" s="334"/>
      <c r="B492" s="335">
        <v>0.2</v>
      </c>
      <c r="C492" s="336"/>
      <c r="D492" s="336" t="s">
        <v>6</v>
      </c>
      <c r="E492" s="336"/>
      <c r="F492" s="338">
        <f>[2]Hardas!$E$21</f>
        <v>59000</v>
      </c>
      <c r="G492" s="338">
        <f>F492*B492</f>
        <v>11800</v>
      </c>
      <c r="H492" s="338"/>
      <c r="I492" s="339"/>
    </row>
    <row r="493" spans="1:9" hidden="1">
      <c r="A493" s="329"/>
      <c r="B493" s="330"/>
      <c r="C493" s="331"/>
      <c r="D493" s="331"/>
      <c r="E493" s="331" t="s">
        <v>405</v>
      </c>
      <c r="F493" s="332"/>
      <c r="G493" s="332"/>
      <c r="H493" s="332"/>
      <c r="I493" s="333">
        <f>SUM(G489:G493)</f>
        <v>26465</v>
      </c>
    </row>
    <row r="494" spans="1:9" hidden="1">
      <c r="A494" s="334"/>
      <c r="B494" s="335"/>
      <c r="C494" s="336"/>
      <c r="D494" s="336"/>
      <c r="E494" s="336"/>
      <c r="F494" s="338"/>
      <c r="G494" s="338"/>
      <c r="H494" s="338"/>
      <c r="I494" s="339"/>
    </row>
    <row r="495" spans="1:9" hidden="1">
      <c r="A495" s="334"/>
      <c r="B495" s="335">
        <v>6.24</v>
      </c>
      <c r="C495" s="336" t="s">
        <v>7</v>
      </c>
      <c r="D495" s="336" t="s">
        <v>467</v>
      </c>
      <c r="E495" s="336"/>
      <c r="F495" s="338">
        <f>[2]Hardas!$E$40</f>
        <v>1050</v>
      </c>
      <c r="G495" s="338"/>
      <c r="H495" s="338">
        <f>F495*B495</f>
        <v>6552</v>
      </c>
      <c r="I495" s="339"/>
    </row>
    <row r="496" spans="1:9" hidden="1">
      <c r="A496" s="334"/>
      <c r="B496" s="335">
        <v>2.4E-2</v>
      </c>
      <c r="C496" s="336" t="s">
        <v>406</v>
      </c>
      <c r="D496" s="336" t="s">
        <v>432</v>
      </c>
      <c r="E496" s="336"/>
      <c r="F496" s="338">
        <f>[2]Hardas!$E$28</f>
        <v>115000</v>
      </c>
      <c r="G496" s="338"/>
      <c r="H496" s="338">
        <f>F496*B496</f>
        <v>2760</v>
      </c>
      <c r="I496" s="339"/>
    </row>
    <row r="497" spans="1:9" hidden="1">
      <c r="A497" s="329"/>
      <c r="B497" s="330"/>
      <c r="C497" s="331"/>
      <c r="D497" s="331"/>
      <c r="E497" s="331" t="s">
        <v>410</v>
      </c>
      <c r="F497" s="332"/>
      <c r="G497" s="332"/>
      <c r="H497" s="332"/>
      <c r="I497" s="333">
        <f>SUM(H495:H497)</f>
        <v>9312</v>
      </c>
    </row>
    <row r="498" spans="1:9" hidden="1">
      <c r="A498" s="334"/>
      <c r="B498" s="335"/>
      <c r="C498" s="336"/>
      <c r="D498" s="336"/>
      <c r="E498" s="336"/>
      <c r="F498" s="338"/>
      <c r="G498" s="338"/>
      <c r="H498" s="338"/>
      <c r="I498" s="339"/>
    </row>
    <row r="499" spans="1:9" hidden="1">
      <c r="A499" s="334"/>
      <c r="B499" s="335"/>
      <c r="C499" s="336"/>
      <c r="D499" s="336"/>
      <c r="E499" s="336"/>
      <c r="F499" s="338"/>
      <c r="G499" s="338"/>
      <c r="H499" s="338"/>
      <c r="I499" s="339"/>
    </row>
    <row r="500" spans="1:9" hidden="1">
      <c r="A500" s="329"/>
      <c r="B500" s="330"/>
      <c r="C500" s="331"/>
      <c r="D500" s="331"/>
      <c r="E500" s="331" t="s">
        <v>411</v>
      </c>
      <c r="F500" s="332"/>
      <c r="G500" s="332"/>
      <c r="H500" s="332"/>
      <c r="I500" s="333"/>
    </row>
    <row r="501" spans="1:9" hidden="1">
      <c r="A501" s="329"/>
      <c r="B501" s="330"/>
      <c r="C501" s="331"/>
      <c r="D501" s="331" t="s">
        <v>412</v>
      </c>
      <c r="E501" s="331"/>
      <c r="F501" s="332"/>
      <c r="G501" s="332"/>
      <c r="H501" s="332"/>
      <c r="I501" s="333">
        <f>SUM(I489:I500)</f>
        <v>35777</v>
      </c>
    </row>
    <row r="502" spans="1:9" hidden="1">
      <c r="A502" s="329"/>
      <c r="B502" s="330"/>
      <c r="C502" s="331"/>
      <c r="D502" s="331" t="s">
        <v>413</v>
      </c>
      <c r="E502" s="331"/>
      <c r="F502" s="332"/>
      <c r="G502" s="332"/>
      <c r="H502" s="332"/>
      <c r="I502" s="333">
        <f>I501*0.1</f>
        <v>3577.7000000000003</v>
      </c>
    </row>
    <row r="503" spans="1:9" hidden="1">
      <c r="A503" s="385"/>
      <c r="B503" s="361"/>
      <c r="C503" s="362"/>
      <c r="D503" s="363" t="s">
        <v>414</v>
      </c>
      <c r="E503" s="362"/>
      <c r="F503" s="364"/>
      <c r="G503" s="364"/>
      <c r="H503" s="364"/>
      <c r="I503" s="365">
        <f>ROUNDDOWN(I502+I501,0)</f>
        <v>39354</v>
      </c>
    </row>
    <row r="504" spans="1:9" ht="13.5" hidden="1" thickBot="1">
      <c r="A504" s="386"/>
      <c r="B504" s="367"/>
      <c r="C504" s="368"/>
      <c r="D504" s="369"/>
      <c r="E504" s="368"/>
      <c r="F504" s="370"/>
      <c r="G504" s="370"/>
      <c r="H504" s="370"/>
      <c r="I504" s="371"/>
    </row>
    <row r="505" spans="1:9" ht="14.25" hidden="1" thickTop="1" thickBot="1">
      <c r="A505" s="309" t="s">
        <v>0</v>
      </c>
      <c r="B505" s="380" t="s">
        <v>397</v>
      </c>
      <c r="C505" s="310" t="s">
        <v>398</v>
      </c>
      <c r="D505" s="310" t="s">
        <v>1</v>
      </c>
      <c r="E505" s="311"/>
      <c r="F505" s="381" t="s">
        <v>399</v>
      </c>
      <c r="G505" s="381" t="s">
        <v>400</v>
      </c>
      <c r="H505" s="381" t="s">
        <v>401</v>
      </c>
      <c r="I505" s="382" t="s">
        <v>402</v>
      </c>
    </row>
    <row r="506" spans="1:9" ht="13.5" hidden="1" thickTop="1">
      <c r="A506" s="351">
        <v>29</v>
      </c>
      <c r="B506" s="352" t="s">
        <v>478</v>
      </c>
      <c r="C506" s="353"/>
      <c r="D506" s="353"/>
      <c r="E506" s="353"/>
      <c r="F506" s="354"/>
      <c r="G506" s="354"/>
      <c r="H506" s="354"/>
      <c r="I506" s="355"/>
    </row>
    <row r="507" spans="1:9" hidden="1">
      <c r="A507" s="334"/>
      <c r="B507" s="335">
        <v>3.0000000000000001E-3</v>
      </c>
      <c r="C507" s="336"/>
      <c r="D507" s="336" t="s">
        <v>3</v>
      </c>
      <c r="E507" s="336"/>
      <c r="F507" s="337">
        <f>[2]Hardas!$E$10</f>
        <v>100000</v>
      </c>
      <c r="G507" s="338">
        <f>F507*B507</f>
        <v>300</v>
      </c>
      <c r="H507" s="338"/>
      <c r="I507" s="339"/>
    </row>
    <row r="508" spans="1:9" hidden="1">
      <c r="A508" s="334"/>
      <c r="B508" s="335">
        <v>6.0000000000000001E-3</v>
      </c>
      <c r="C508" s="336"/>
      <c r="D508" s="336" t="s">
        <v>4</v>
      </c>
      <c r="E508" s="336"/>
      <c r="F508" s="338">
        <f>[2]Hardas!$E$11</f>
        <v>91000</v>
      </c>
      <c r="G508" s="338">
        <f>F508*B508</f>
        <v>546</v>
      </c>
      <c r="H508" s="338"/>
      <c r="I508" s="339"/>
    </row>
    <row r="509" spans="1:9" hidden="1">
      <c r="A509" s="334"/>
      <c r="B509" s="335">
        <v>6.3E-2</v>
      </c>
      <c r="C509" s="336"/>
      <c r="D509" s="336" t="s">
        <v>19</v>
      </c>
      <c r="E509" s="336"/>
      <c r="F509" s="338">
        <f>[2]Hardas!$E$17</f>
        <v>82000</v>
      </c>
      <c r="G509" s="338">
        <f>F509*B509</f>
        <v>5166</v>
      </c>
      <c r="H509" s="338"/>
      <c r="I509" s="339"/>
    </row>
    <row r="510" spans="1:9" hidden="1">
      <c r="A510" s="334"/>
      <c r="B510" s="335">
        <v>0.02</v>
      </c>
      <c r="C510" s="336"/>
      <c r="D510" s="336" t="s">
        <v>6</v>
      </c>
      <c r="E510" s="336"/>
      <c r="F510" s="338">
        <f>[2]Hardas!$E$21</f>
        <v>59000</v>
      </c>
      <c r="G510" s="338">
        <f>F510*B510</f>
        <v>1180</v>
      </c>
      <c r="H510" s="338"/>
      <c r="I510" s="339"/>
    </row>
    <row r="511" spans="1:9" hidden="1">
      <c r="A511" s="329"/>
      <c r="B511" s="330"/>
      <c r="C511" s="331"/>
      <c r="D511" s="331"/>
      <c r="E511" s="331" t="s">
        <v>405</v>
      </c>
      <c r="F511" s="332"/>
      <c r="G511" s="332"/>
      <c r="H511" s="332"/>
      <c r="I511" s="333">
        <f>SUM(G507:G511)</f>
        <v>7192</v>
      </c>
    </row>
    <row r="512" spans="1:9" hidden="1">
      <c r="A512" s="334"/>
      <c r="B512" s="335"/>
      <c r="C512" s="336"/>
      <c r="D512" s="336"/>
      <c r="E512" s="336"/>
      <c r="F512" s="338"/>
      <c r="G512" s="338"/>
      <c r="H512" s="338"/>
      <c r="I512" s="339"/>
    </row>
    <row r="513" spans="1:9" hidden="1">
      <c r="A513" s="334"/>
      <c r="B513" s="335">
        <v>0.2</v>
      </c>
      <c r="C513" s="336" t="s">
        <v>20</v>
      </c>
      <c r="D513" s="336" t="s">
        <v>479</v>
      </c>
      <c r="E513" s="336"/>
      <c r="F513" s="338">
        <f>[2]Hardas!$E$75</f>
        <v>6585</v>
      </c>
      <c r="G513" s="338"/>
      <c r="H513" s="338">
        <f>F513*B513</f>
        <v>1317</v>
      </c>
      <c r="I513" s="339"/>
    </row>
    <row r="514" spans="1:9" hidden="1">
      <c r="A514" s="334"/>
      <c r="B514" s="335">
        <v>0.15</v>
      </c>
      <c r="C514" s="336" t="s">
        <v>20</v>
      </c>
      <c r="D514" s="336" t="s">
        <v>21</v>
      </c>
      <c r="E514" s="336"/>
      <c r="F514" s="338">
        <f>[2]Hardas!$E$81</f>
        <v>11770</v>
      </c>
      <c r="G514" s="338"/>
      <c r="H514" s="338">
        <f>F514*B514</f>
        <v>1765.5</v>
      </c>
      <c r="I514" s="339"/>
    </row>
    <row r="515" spans="1:9" hidden="1">
      <c r="A515" s="334"/>
      <c r="B515" s="335">
        <v>0.3</v>
      </c>
      <c r="C515" s="336" t="s">
        <v>20</v>
      </c>
      <c r="D515" s="336" t="s">
        <v>480</v>
      </c>
      <c r="E515" s="336"/>
      <c r="F515" s="338">
        <f>[2]Hardas!$E$77</f>
        <v>15690</v>
      </c>
      <c r="G515" s="338"/>
      <c r="H515" s="338">
        <f>F515*B515</f>
        <v>4707</v>
      </c>
      <c r="I515" s="339"/>
    </row>
    <row r="516" spans="1:9" hidden="1">
      <c r="A516" s="329"/>
      <c r="B516" s="330"/>
      <c r="C516" s="331"/>
      <c r="D516" s="331"/>
      <c r="E516" s="331" t="s">
        <v>410</v>
      </c>
      <c r="F516" s="332"/>
      <c r="G516" s="332"/>
      <c r="H516" s="332"/>
      <c r="I516" s="333">
        <f>SUM(H513:H516)</f>
        <v>7789.5</v>
      </c>
    </row>
    <row r="517" spans="1:9" hidden="1">
      <c r="A517" s="334"/>
      <c r="B517" s="335"/>
      <c r="C517" s="336"/>
      <c r="D517" s="336"/>
      <c r="E517" s="336"/>
      <c r="F517" s="338"/>
      <c r="G517" s="338"/>
      <c r="H517" s="338"/>
      <c r="I517" s="339"/>
    </row>
    <row r="518" spans="1:9" hidden="1">
      <c r="A518" s="334"/>
      <c r="B518" s="335"/>
      <c r="C518" s="336"/>
      <c r="D518" s="336"/>
      <c r="E518" s="336"/>
      <c r="F518" s="338"/>
      <c r="G518" s="338"/>
      <c r="H518" s="338"/>
      <c r="I518" s="339"/>
    </row>
    <row r="519" spans="1:9" hidden="1">
      <c r="A519" s="329"/>
      <c r="B519" s="330"/>
      <c r="C519" s="331"/>
      <c r="D519" s="331"/>
      <c r="E519" s="331" t="s">
        <v>411</v>
      </c>
      <c r="F519" s="332"/>
      <c r="G519" s="332"/>
      <c r="H519" s="332"/>
      <c r="I519" s="333"/>
    </row>
    <row r="520" spans="1:9" hidden="1">
      <c r="A520" s="329"/>
      <c r="B520" s="330"/>
      <c r="C520" s="331"/>
      <c r="D520" s="331" t="s">
        <v>412</v>
      </c>
      <c r="E520" s="331"/>
      <c r="F520" s="332"/>
      <c r="G520" s="332"/>
      <c r="H520" s="332"/>
      <c r="I520" s="333">
        <f>SUM(I507:I519)</f>
        <v>14981.5</v>
      </c>
    </row>
    <row r="521" spans="1:9" hidden="1">
      <c r="A521" s="329"/>
      <c r="B521" s="330"/>
      <c r="C521" s="331"/>
      <c r="D521" s="331" t="s">
        <v>413</v>
      </c>
      <c r="E521" s="331"/>
      <c r="F521" s="332"/>
      <c r="G521" s="332"/>
      <c r="H521" s="332"/>
      <c r="I521" s="333">
        <f>I520*0.1</f>
        <v>1498.15</v>
      </c>
    </row>
    <row r="522" spans="1:9" hidden="1">
      <c r="A522" s="385"/>
      <c r="B522" s="361"/>
      <c r="C522" s="362"/>
      <c r="D522" s="363" t="s">
        <v>414</v>
      </c>
      <c r="E522" s="362"/>
      <c r="F522" s="364"/>
      <c r="G522" s="364"/>
      <c r="H522" s="364"/>
      <c r="I522" s="365">
        <f>ROUNDDOWN(I521+I520,0)</f>
        <v>16479</v>
      </c>
    </row>
    <row r="523" spans="1:9" ht="13.5" hidden="1" thickBot="1">
      <c r="A523" s="386"/>
      <c r="B523" s="367"/>
      <c r="C523" s="368"/>
      <c r="D523" s="369"/>
      <c r="E523" s="368"/>
      <c r="F523" s="370"/>
      <c r="G523" s="370"/>
      <c r="H523" s="370"/>
      <c r="I523" s="371"/>
    </row>
    <row r="524" spans="1:9" ht="14.25" hidden="1" thickTop="1" thickBot="1">
      <c r="A524" s="309" t="s">
        <v>0</v>
      </c>
      <c r="B524" s="380" t="s">
        <v>397</v>
      </c>
      <c r="C524" s="310" t="s">
        <v>398</v>
      </c>
      <c r="D524" s="310" t="s">
        <v>1</v>
      </c>
      <c r="E524" s="311"/>
      <c r="F524" s="381" t="s">
        <v>399</v>
      </c>
      <c r="G524" s="381" t="s">
        <v>400</v>
      </c>
      <c r="H524" s="381" t="s">
        <v>401</v>
      </c>
      <c r="I524" s="382" t="s">
        <v>402</v>
      </c>
    </row>
    <row r="525" spans="1:9" ht="13.5" hidden="1" thickTop="1">
      <c r="A525" s="351">
        <v>30</v>
      </c>
      <c r="B525" s="352" t="s">
        <v>481</v>
      </c>
      <c r="C525" s="353"/>
      <c r="D525" s="353"/>
      <c r="E525" s="353"/>
      <c r="F525" s="354"/>
      <c r="G525" s="354"/>
      <c r="H525" s="354"/>
      <c r="I525" s="355"/>
    </row>
    <row r="526" spans="1:9" hidden="1">
      <c r="A526" s="334"/>
      <c r="B526" s="335">
        <v>3.0000000000000001E-3</v>
      </c>
      <c r="C526" s="336"/>
      <c r="D526" s="336" t="s">
        <v>3</v>
      </c>
      <c r="E526" s="336"/>
      <c r="F526" s="337">
        <f>[2]Hardas!$E$10</f>
        <v>100000</v>
      </c>
      <c r="G526" s="338">
        <f>F526*B526</f>
        <v>300</v>
      </c>
      <c r="H526" s="338"/>
      <c r="I526" s="339"/>
    </row>
    <row r="527" spans="1:9" hidden="1">
      <c r="A527" s="334"/>
      <c r="B527" s="335">
        <v>6.0000000000000001E-3</v>
      </c>
      <c r="C527" s="336"/>
      <c r="D527" s="336" t="s">
        <v>4</v>
      </c>
      <c r="E527" s="336"/>
      <c r="F527" s="338">
        <f>[2]Hardas!$E$11</f>
        <v>91000</v>
      </c>
      <c r="G527" s="338">
        <f>F527*B527</f>
        <v>546</v>
      </c>
      <c r="H527" s="338"/>
      <c r="I527" s="339"/>
    </row>
    <row r="528" spans="1:9" hidden="1">
      <c r="A528" s="334"/>
      <c r="B528" s="335">
        <v>6.3E-2</v>
      </c>
      <c r="C528" s="336"/>
      <c r="D528" s="336" t="s">
        <v>19</v>
      </c>
      <c r="E528" s="336"/>
      <c r="F528" s="338">
        <f>[2]Hardas!$E$17</f>
        <v>82000</v>
      </c>
      <c r="G528" s="338">
        <f>F528*B528</f>
        <v>5166</v>
      </c>
      <c r="H528" s="338"/>
      <c r="I528" s="339"/>
    </row>
    <row r="529" spans="1:9" hidden="1">
      <c r="A529" s="334"/>
      <c r="B529" s="335">
        <v>0.02</v>
      </c>
      <c r="C529" s="336"/>
      <c r="D529" s="336" t="s">
        <v>6</v>
      </c>
      <c r="E529" s="336"/>
      <c r="F529" s="338">
        <f>[2]Hardas!$E$21</f>
        <v>59000</v>
      </c>
      <c r="G529" s="338">
        <f>F529*B529</f>
        <v>1180</v>
      </c>
      <c r="H529" s="338"/>
      <c r="I529" s="339"/>
    </row>
    <row r="530" spans="1:9" hidden="1">
      <c r="A530" s="329"/>
      <c r="B530" s="330"/>
      <c r="C530" s="331"/>
      <c r="D530" s="331"/>
      <c r="E530" s="331" t="s">
        <v>405</v>
      </c>
      <c r="F530" s="332"/>
      <c r="G530" s="332"/>
      <c r="H530" s="332"/>
      <c r="I530" s="333">
        <f>SUM(G526:G530)</f>
        <v>7192</v>
      </c>
    </row>
    <row r="531" spans="1:9" hidden="1">
      <c r="A531" s="334"/>
      <c r="B531" s="335"/>
      <c r="C531" s="336"/>
      <c r="D531" s="336"/>
      <c r="E531" s="336"/>
      <c r="F531" s="338"/>
      <c r="G531" s="338"/>
      <c r="H531" s="338"/>
      <c r="I531" s="339"/>
    </row>
    <row r="532" spans="1:9" hidden="1">
      <c r="A532" s="334"/>
      <c r="B532" s="335">
        <v>0.35</v>
      </c>
      <c r="C532" s="336"/>
      <c r="D532" s="336" t="s">
        <v>479</v>
      </c>
      <c r="E532" s="336"/>
      <c r="F532" s="338">
        <f>[2]Hardas!$E$75</f>
        <v>6585</v>
      </c>
      <c r="G532" s="338"/>
      <c r="H532" s="338">
        <f>F532*B532</f>
        <v>2304.75</v>
      </c>
      <c r="I532" s="339"/>
    </row>
    <row r="533" spans="1:9" hidden="1">
      <c r="A533" s="334"/>
      <c r="B533" s="335">
        <v>0.45</v>
      </c>
      <c r="C533" s="336"/>
      <c r="D533" s="336" t="s">
        <v>21</v>
      </c>
      <c r="E533" s="336"/>
      <c r="F533" s="338">
        <f>[2]Hardas!$E$81</f>
        <v>11770</v>
      </c>
      <c r="G533" s="338"/>
      <c r="H533" s="338">
        <f>F533*B533</f>
        <v>5296.5</v>
      </c>
      <c r="I533" s="339"/>
    </row>
    <row r="534" spans="1:9" hidden="1">
      <c r="A534" s="334"/>
      <c r="B534" s="335">
        <v>0.5</v>
      </c>
      <c r="C534" s="336"/>
      <c r="D534" s="336" t="s">
        <v>480</v>
      </c>
      <c r="E534" s="336"/>
      <c r="F534" s="338">
        <f>[2]Hardas!$E$78</f>
        <v>18000</v>
      </c>
      <c r="G534" s="338"/>
      <c r="H534" s="338">
        <f>F534*B534</f>
        <v>9000</v>
      </c>
      <c r="I534" s="339"/>
    </row>
    <row r="535" spans="1:9" hidden="1">
      <c r="A535" s="329"/>
      <c r="B535" s="330"/>
      <c r="C535" s="331"/>
      <c r="D535" s="331"/>
      <c r="E535" s="331" t="s">
        <v>410</v>
      </c>
      <c r="F535" s="332"/>
      <c r="G535" s="332"/>
      <c r="H535" s="332"/>
      <c r="I535" s="333">
        <f>SUM(H532:H535)</f>
        <v>16601.25</v>
      </c>
    </row>
    <row r="536" spans="1:9" hidden="1">
      <c r="A536" s="334"/>
      <c r="B536" s="335"/>
      <c r="C536" s="336"/>
      <c r="D536" s="336"/>
      <c r="E536" s="336"/>
      <c r="F536" s="338"/>
      <c r="G536" s="338"/>
      <c r="H536" s="338"/>
      <c r="I536" s="339"/>
    </row>
    <row r="537" spans="1:9" hidden="1">
      <c r="A537" s="334"/>
      <c r="B537" s="335"/>
      <c r="C537" s="336"/>
      <c r="D537" s="336"/>
      <c r="E537" s="336"/>
      <c r="F537" s="338"/>
      <c r="G537" s="338"/>
      <c r="H537" s="338"/>
      <c r="I537" s="339"/>
    </row>
    <row r="538" spans="1:9" hidden="1">
      <c r="A538" s="329"/>
      <c r="B538" s="330"/>
      <c r="C538" s="331"/>
      <c r="D538" s="331"/>
      <c r="E538" s="331" t="s">
        <v>411</v>
      </c>
      <c r="F538" s="332"/>
      <c r="G538" s="332"/>
      <c r="H538" s="332"/>
      <c r="I538" s="333"/>
    </row>
    <row r="539" spans="1:9" hidden="1">
      <c r="A539" s="329"/>
      <c r="B539" s="330"/>
      <c r="C539" s="331"/>
      <c r="D539" s="331" t="s">
        <v>412</v>
      </c>
      <c r="E539" s="331"/>
      <c r="F539" s="332"/>
      <c r="G539" s="332"/>
      <c r="H539" s="332"/>
      <c r="I539" s="333">
        <f>SUM(I526:I538)</f>
        <v>23793.25</v>
      </c>
    </row>
    <row r="540" spans="1:9" hidden="1">
      <c r="A540" s="329"/>
      <c r="B540" s="330"/>
      <c r="C540" s="331"/>
      <c r="D540" s="331" t="s">
        <v>413</v>
      </c>
      <c r="E540" s="331"/>
      <c r="F540" s="332"/>
      <c r="G540" s="332"/>
      <c r="H540" s="332"/>
      <c r="I540" s="333">
        <f>I539*0.1</f>
        <v>2379.3250000000003</v>
      </c>
    </row>
    <row r="541" spans="1:9" hidden="1">
      <c r="A541" s="385"/>
      <c r="B541" s="361"/>
      <c r="C541" s="362"/>
      <c r="D541" s="363" t="s">
        <v>414</v>
      </c>
      <c r="E541" s="362"/>
      <c r="F541" s="364"/>
      <c r="G541" s="364"/>
      <c r="H541" s="364"/>
      <c r="I541" s="365">
        <f>ROUNDDOWN(I540+I539,0)</f>
        <v>26172</v>
      </c>
    </row>
    <row r="542" spans="1:9" ht="13.5" hidden="1" thickBot="1">
      <c r="A542" s="386"/>
      <c r="B542" s="367"/>
      <c r="C542" s="368"/>
      <c r="D542" s="369"/>
      <c r="E542" s="368"/>
      <c r="F542" s="370"/>
      <c r="G542" s="370"/>
      <c r="H542" s="370"/>
      <c r="I542" s="371"/>
    </row>
    <row r="543" spans="1:9" ht="14.25" hidden="1" thickTop="1" thickBot="1">
      <c r="A543" s="309" t="s">
        <v>0</v>
      </c>
      <c r="B543" s="380" t="s">
        <v>397</v>
      </c>
      <c r="C543" s="310" t="s">
        <v>398</v>
      </c>
      <c r="D543" s="310" t="s">
        <v>1</v>
      </c>
      <c r="E543" s="311"/>
      <c r="F543" s="381" t="s">
        <v>399</v>
      </c>
      <c r="G543" s="381" t="s">
        <v>400</v>
      </c>
      <c r="H543" s="381" t="s">
        <v>401</v>
      </c>
      <c r="I543" s="382" t="s">
        <v>402</v>
      </c>
    </row>
    <row r="544" spans="1:9" ht="13.5" hidden="1" thickTop="1">
      <c r="A544" s="351">
        <v>31</v>
      </c>
      <c r="B544" s="352" t="s">
        <v>482</v>
      </c>
      <c r="C544" s="353"/>
      <c r="D544" s="353"/>
      <c r="E544" s="353"/>
      <c r="F544" s="354"/>
      <c r="G544" s="354"/>
      <c r="H544" s="354"/>
      <c r="I544" s="355"/>
    </row>
    <row r="545" spans="1:9" hidden="1">
      <c r="A545" s="334"/>
      <c r="B545" s="335">
        <v>5.0000000000000001E-3</v>
      </c>
      <c r="C545" s="336"/>
      <c r="D545" s="336" t="s">
        <v>3</v>
      </c>
      <c r="E545" s="336"/>
      <c r="F545" s="337">
        <f>[2]Hardas!$E$10</f>
        <v>100000</v>
      </c>
      <c r="G545" s="338">
        <f>F545*B545</f>
        <v>500</v>
      </c>
      <c r="H545" s="338"/>
      <c r="I545" s="339"/>
    </row>
    <row r="546" spans="1:9" hidden="1">
      <c r="A546" s="334"/>
      <c r="B546" s="335">
        <v>5.0000000000000001E-3</v>
      </c>
      <c r="C546" s="336"/>
      <c r="D546" s="336" t="s">
        <v>4</v>
      </c>
      <c r="E546" s="336"/>
      <c r="F546" s="338">
        <f>[2]Hardas!$E$11</f>
        <v>91000</v>
      </c>
      <c r="G546" s="338">
        <f>F546*B546</f>
        <v>455</v>
      </c>
      <c r="H546" s="338"/>
      <c r="I546" s="339"/>
    </row>
    <row r="547" spans="1:9" hidden="1">
      <c r="A547" s="334"/>
      <c r="B547" s="335">
        <v>0.05</v>
      </c>
      <c r="C547" s="336"/>
      <c r="D547" s="336" t="s">
        <v>5</v>
      </c>
      <c r="E547" s="336"/>
      <c r="F547" s="338">
        <f>[2]Hardas!$E$13</f>
        <v>82000</v>
      </c>
      <c r="G547" s="338">
        <f>F547*B547</f>
        <v>4100</v>
      </c>
      <c r="H547" s="338"/>
      <c r="I547" s="339"/>
    </row>
    <row r="548" spans="1:9" hidden="1">
      <c r="A548" s="334"/>
      <c r="B548" s="335">
        <v>0.1</v>
      </c>
      <c r="C548" s="336"/>
      <c r="D548" s="336" t="s">
        <v>6</v>
      </c>
      <c r="E548" s="336"/>
      <c r="F548" s="338">
        <f>[2]Hardas!$E$21</f>
        <v>59000</v>
      </c>
      <c r="G548" s="338">
        <f>F548*B548</f>
        <v>5900</v>
      </c>
      <c r="H548" s="338"/>
      <c r="I548" s="339"/>
    </row>
    <row r="549" spans="1:9" hidden="1">
      <c r="A549" s="329"/>
      <c r="B549" s="330"/>
      <c r="C549" s="331"/>
      <c r="D549" s="331"/>
      <c r="E549" s="331" t="s">
        <v>405</v>
      </c>
      <c r="F549" s="332"/>
      <c r="G549" s="332"/>
      <c r="H549" s="332"/>
      <c r="I549" s="333">
        <f>SUM(G545:G549)</f>
        <v>10955</v>
      </c>
    </row>
    <row r="550" spans="1:9" hidden="1">
      <c r="A550" s="334"/>
      <c r="B550" s="335">
        <v>1</v>
      </c>
      <c r="C550" s="336" t="s">
        <v>437</v>
      </c>
      <c r="D550" s="336" t="s">
        <v>483</v>
      </c>
      <c r="E550" s="336"/>
      <c r="F550" s="338">
        <f>[2]Hardas!$E$119</f>
        <v>94700</v>
      </c>
      <c r="G550" s="338"/>
      <c r="H550" s="338">
        <f>F550*B550</f>
        <v>94700</v>
      </c>
      <c r="I550" s="339"/>
    </row>
    <row r="551" spans="1:9" hidden="1">
      <c r="A551" s="334"/>
      <c r="B551" s="335">
        <v>0.1</v>
      </c>
      <c r="C551" s="336" t="s">
        <v>7</v>
      </c>
      <c r="D551" s="336" t="s">
        <v>22</v>
      </c>
      <c r="E551" s="336"/>
      <c r="F551" s="338">
        <f>[2]Hardas!$E$62</f>
        <v>30000</v>
      </c>
      <c r="G551" s="338"/>
      <c r="H551" s="338">
        <f>F551*B551</f>
        <v>3000</v>
      </c>
      <c r="I551" s="339"/>
    </row>
    <row r="552" spans="1:9" hidden="1">
      <c r="A552" s="334"/>
      <c r="B552" s="335">
        <v>1</v>
      </c>
      <c r="C552" s="336" t="s">
        <v>23</v>
      </c>
      <c r="D552" s="336" t="s">
        <v>484</v>
      </c>
      <c r="E552" s="336"/>
      <c r="F552" s="338">
        <f>[2]Hardas!$E$237</f>
        <v>65450</v>
      </c>
      <c r="G552" s="338"/>
      <c r="H552" s="338">
        <f>F552*B552</f>
        <v>65450</v>
      </c>
      <c r="I552" s="339"/>
    </row>
    <row r="553" spans="1:9" hidden="1">
      <c r="A553" s="329"/>
      <c r="B553" s="330"/>
      <c r="C553" s="331"/>
      <c r="D553" s="331"/>
      <c r="E553" s="331" t="s">
        <v>410</v>
      </c>
      <c r="F553" s="332"/>
      <c r="G553" s="332"/>
      <c r="H553" s="332"/>
      <c r="I553" s="333">
        <f>SUM(H550:H553)</f>
        <v>163150</v>
      </c>
    </row>
    <row r="554" spans="1:9" hidden="1">
      <c r="A554" s="334"/>
      <c r="B554" s="335"/>
      <c r="C554" s="336"/>
      <c r="D554" s="336"/>
      <c r="E554" s="336"/>
      <c r="F554" s="338"/>
      <c r="G554" s="338"/>
      <c r="H554" s="338"/>
      <c r="I554" s="339"/>
    </row>
    <row r="555" spans="1:9" hidden="1">
      <c r="A555" s="329"/>
      <c r="B555" s="330"/>
      <c r="C555" s="331"/>
      <c r="D555" s="331"/>
      <c r="E555" s="331" t="s">
        <v>411</v>
      </c>
      <c r="F555" s="332"/>
      <c r="G555" s="332"/>
      <c r="H555" s="332"/>
      <c r="I555" s="333"/>
    </row>
    <row r="556" spans="1:9" hidden="1">
      <c r="A556" s="329"/>
      <c r="B556" s="330"/>
      <c r="C556" s="331"/>
      <c r="D556" s="331" t="s">
        <v>412</v>
      </c>
      <c r="E556" s="331"/>
      <c r="F556" s="332"/>
      <c r="G556" s="332"/>
      <c r="H556" s="332"/>
      <c r="I556" s="333">
        <f>SUM(I544:I555)</f>
        <v>174105</v>
      </c>
    </row>
    <row r="557" spans="1:9" hidden="1">
      <c r="A557" s="329"/>
      <c r="B557" s="330"/>
      <c r="C557" s="331"/>
      <c r="D557" s="331" t="s">
        <v>413</v>
      </c>
      <c r="E557" s="331"/>
      <c r="F557" s="332"/>
      <c r="G557" s="332"/>
      <c r="H557" s="332"/>
      <c r="I557" s="333">
        <f>I556*0.1</f>
        <v>17410.5</v>
      </c>
    </row>
    <row r="558" spans="1:9" hidden="1">
      <c r="A558" s="385"/>
      <c r="B558" s="361"/>
      <c r="C558" s="362"/>
      <c r="D558" s="363" t="s">
        <v>414</v>
      </c>
      <c r="E558" s="362"/>
      <c r="F558" s="364"/>
      <c r="G558" s="364"/>
      <c r="H558" s="364"/>
      <c r="I558" s="365">
        <f>ROUNDDOWN(I557+I556,0)</f>
        <v>191515</v>
      </c>
    </row>
    <row r="559" spans="1:9" ht="13.5" hidden="1" thickBot="1">
      <c r="A559" s="386"/>
      <c r="B559" s="367"/>
      <c r="C559" s="368"/>
      <c r="D559" s="369"/>
      <c r="E559" s="368"/>
      <c r="F559" s="370"/>
      <c r="G559" s="370"/>
      <c r="H559" s="370"/>
      <c r="I559" s="371"/>
    </row>
    <row r="560" spans="1:9" ht="14.25" hidden="1" thickTop="1" thickBot="1">
      <c r="A560" s="309" t="s">
        <v>0</v>
      </c>
      <c r="B560" s="380" t="s">
        <v>397</v>
      </c>
      <c r="C560" s="310" t="s">
        <v>398</v>
      </c>
      <c r="D560" s="310" t="s">
        <v>1</v>
      </c>
      <c r="E560" s="311"/>
      <c r="F560" s="381" t="s">
        <v>399</v>
      </c>
      <c r="G560" s="381" t="s">
        <v>400</v>
      </c>
      <c r="H560" s="381" t="s">
        <v>401</v>
      </c>
      <c r="I560" s="382" t="s">
        <v>402</v>
      </c>
    </row>
    <row r="561" spans="1:9" ht="13.5" hidden="1" thickTop="1">
      <c r="A561" s="351">
        <v>32</v>
      </c>
      <c r="B561" s="352" t="s">
        <v>485</v>
      </c>
      <c r="C561" s="353"/>
      <c r="D561" s="353"/>
      <c r="E561" s="353"/>
      <c r="F561" s="354"/>
      <c r="G561" s="354"/>
      <c r="H561" s="354"/>
      <c r="I561" s="355"/>
    </row>
    <row r="562" spans="1:9" hidden="1">
      <c r="A562" s="334"/>
      <c r="B562" s="335">
        <v>5.0000000000000001E-3</v>
      </c>
      <c r="C562" s="336"/>
      <c r="D562" s="336" t="s">
        <v>3</v>
      </c>
      <c r="E562" s="336"/>
      <c r="F562" s="337">
        <f>[2]Hardas!$E$10</f>
        <v>100000</v>
      </c>
      <c r="G562" s="338">
        <f>F562*B562</f>
        <v>500</v>
      </c>
      <c r="H562" s="338"/>
      <c r="I562" s="339"/>
    </row>
    <row r="563" spans="1:9" hidden="1">
      <c r="A563" s="334"/>
      <c r="B563" s="335">
        <v>5.0000000000000001E-3</v>
      </c>
      <c r="C563" s="336"/>
      <c r="D563" s="336" t="s">
        <v>4</v>
      </c>
      <c r="E563" s="336"/>
      <c r="F563" s="338">
        <f>[2]Hardas!$E$11</f>
        <v>91000</v>
      </c>
      <c r="G563" s="338">
        <f>F563*B563</f>
        <v>455</v>
      </c>
      <c r="H563" s="338"/>
      <c r="I563" s="339"/>
    </row>
    <row r="564" spans="1:9" hidden="1">
      <c r="A564" s="334"/>
      <c r="B564" s="335">
        <v>0.05</v>
      </c>
      <c r="C564" s="336"/>
      <c r="D564" s="336" t="s">
        <v>5</v>
      </c>
      <c r="E564" s="336"/>
      <c r="F564" s="338">
        <f>[2]Hardas!$E$13</f>
        <v>82000</v>
      </c>
      <c r="G564" s="338">
        <f>F564*B564</f>
        <v>4100</v>
      </c>
      <c r="H564" s="338"/>
      <c r="I564" s="339"/>
    </row>
    <row r="565" spans="1:9" hidden="1">
      <c r="A565" s="334"/>
      <c r="B565" s="335">
        <v>0.1</v>
      </c>
      <c r="C565" s="336"/>
      <c r="D565" s="336" t="s">
        <v>6</v>
      </c>
      <c r="E565" s="336"/>
      <c r="F565" s="338">
        <f>[2]Hardas!$E$21</f>
        <v>59000</v>
      </c>
      <c r="G565" s="338">
        <f>F565*B565</f>
        <v>5900</v>
      </c>
      <c r="H565" s="338"/>
      <c r="I565" s="339"/>
    </row>
    <row r="566" spans="1:9" hidden="1">
      <c r="A566" s="329"/>
      <c r="B566" s="330"/>
      <c r="C566" s="331"/>
      <c r="D566" s="331"/>
      <c r="E566" s="331" t="s">
        <v>405</v>
      </c>
      <c r="F566" s="332"/>
      <c r="G566" s="332"/>
      <c r="H566" s="332"/>
      <c r="I566" s="333">
        <f>SUM(G562:G566)</f>
        <v>10955</v>
      </c>
    </row>
    <row r="567" spans="1:9" hidden="1">
      <c r="A567" s="334"/>
      <c r="B567" s="335"/>
      <c r="C567" s="336"/>
      <c r="D567" s="336"/>
      <c r="E567" s="336"/>
      <c r="F567" s="338"/>
      <c r="G567" s="338"/>
      <c r="H567" s="338"/>
      <c r="I567" s="339"/>
    </row>
    <row r="568" spans="1:9" hidden="1">
      <c r="A568" s="334"/>
      <c r="B568" s="335">
        <v>1</v>
      </c>
      <c r="C568" s="336" t="s">
        <v>437</v>
      </c>
      <c r="D568" s="336" t="s">
        <v>486</v>
      </c>
      <c r="E568" s="336"/>
      <c r="F568" s="338">
        <f>[2]Hardas!$E$118</f>
        <v>56250</v>
      </c>
      <c r="G568" s="338"/>
      <c r="H568" s="338">
        <f>F568*B568</f>
        <v>56250</v>
      </c>
      <c r="I568" s="339"/>
    </row>
    <row r="569" spans="1:9" hidden="1">
      <c r="A569" s="334"/>
      <c r="B569" s="335">
        <v>0.1</v>
      </c>
      <c r="C569" s="336" t="s">
        <v>7</v>
      </c>
      <c r="D569" s="336" t="s">
        <v>22</v>
      </c>
      <c r="E569" s="336"/>
      <c r="F569" s="338">
        <f>[2]Hardas!$E$62</f>
        <v>30000</v>
      </c>
      <c r="G569" s="338"/>
      <c r="H569" s="338">
        <f>F569*B569</f>
        <v>3000</v>
      </c>
      <c r="I569" s="339"/>
    </row>
    <row r="570" spans="1:9" hidden="1">
      <c r="A570" s="334"/>
      <c r="B570" s="335">
        <v>1</v>
      </c>
      <c r="C570" s="336" t="s">
        <v>23</v>
      </c>
      <c r="D570" s="336" t="s">
        <v>484</v>
      </c>
      <c r="E570" s="336"/>
      <c r="F570" s="338">
        <f>[2]Hardas!$E$237</f>
        <v>65450</v>
      </c>
      <c r="G570" s="338"/>
      <c r="H570" s="338">
        <f>F570*B570</f>
        <v>65450</v>
      </c>
      <c r="I570" s="339"/>
    </row>
    <row r="571" spans="1:9" hidden="1">
      <c r="A571" s="329"/>
      <c r="B571" s="330"/>
      <c r="C571" s="331"/>
      <c r="D571" s="331"/>
      <c r="E571" s="331" t="s">
        <v>410</v>
      </c>
      <c r="F571" s="332"/>
      <c r="G571" s="332"/>
      <c r="H571" s="332"/>
      <c r="I571" s="333">
        <f>SUM(H568:H571)</f>
        <v>124700</v>
      </c>
    </row>
    <row r="572" spans="1:9" hidden="1">
      <c r="A572" s="334"/>
      <c r="B572" s="335"/>
      <c r="C572" s="336"/>
      <c r="D572" s="336"/>
      <c r="E572" s="336"/>
      <c r="F572" s="338"/>
      <c r="G572" s="338"/>
      <c r="H572" s="338"/>
      <c r="I572" s="339"/>
    </row>
    <row r="573" spans="1:9" hidden="1">
      <c r="A573" s="329"/>
      <c r="B573" s="330"/>
      <c r="C573" s="331"/>
      <c r="D573" s="331"/>
      <c r="E573" s="331" t="s">
        <v>411</v>
      </c>
      <c r="F573" s="332"/>
      <c r="G573" s="332"/>
      <c r="H573" s="332"/>
      <c r="I573" s="333"/>
    </row>
    <row r="574" spans="1:9" hidden="1">
      <c r="A574" s="329"/>
      <c r="B574" s="330"/>
      <c r="C574" s="331"/>
      <c r="D574" s="331" t="s">
        <v>412</v>
      </c>
      <c r="E574" s="331"/>
      <c r="F574" s="332"/>
      <c r="G574" s="332"/>
      <c r="H574" s="332"/>
      <c r="I574" s="333">
        <f>SUM(I562:I573)</f>
        <v>135655</v>
      </c>
    </row>
    <row r="575" spans="1:9" hidden="1">
      <c r="A575" s="329"/>
      <c r="B575" s="330"/>
      <c r="C575" s="331"/>
      <c r="D575" s="331" t="s">
        <v>413</v>
      </c>
      <c r="E575" s="331"/>
      <c r="F575" s="332"/>
      <c r="G575" s="332"/>
      <c r="H575" s="332"/>
      <c r="I575" s="333">
        <f>I574*0.1</f>
        <v>13565.5</v>
      </c>
    </row>
    <row r="576" spans="1:9" hidden="1">
      <c r="A576" s="385"/>
      <c r="B576" s="361"/>
      <c r="C576" s="362"/>
      <c r="D576" s="363" t="s">
        <v>414</v>
      </c>
      <c r="E576" s="362"/>
      <c r="F576" s="364"/>
      <c r="G576" s="364"/>
      <c r="H576" s="364"/>
      <c r="I576" s="365">
        <f>ROUNDDOWN(I575+I574,0)</f>
        <v>149220</v>
      </c>
    </row>
    <row r="577" spans="1:9" ht="13.5" hidden="1" thickBot="1">
      <c r="A577" s="386"/>
      <c r="B577" s="367"/>
      <c r="C577" s="368"/>
      <c r="D577" s="369"/>
      <c r="E577" s="368"/>
      <c r="F577" s="370"/>
      <c r="G577" s="370"/>
      <c r="H577" s="370"/>
      <c r="I577" s="371"/>
    </row>
    <row r="578" spans="1:9" ht="14.25" hidden="1" thickTop="1" thickBot="1">
      <c r="A578" s="309" t="s">
        <v>0</v>
      </c>
      <c r="B578" s="380" t="s">
        <v>397</v>
      </c>
      <c r="C578" s="310" t="s">
        <v>398</v>
      </c>
      <c r="D578" s="310" t="s">
        <v>1</v>
      </c>
      <c r="E578" s="311"/>
      <c r="F578" s="381" t="s">
        <v>399</v>
      </c>
      <c r="G578" s="381" t="s">
        <v>400</v>
      </c>
      <c r="H578" s="381" t="s">
        <v>401</v>
      </c>
      <c r="I578" s="382" t="s">
        <v>402</v>
      </c>
    </row>
    <row r="579" spans="1:9" ht="13.5" hidden="1" thickTop="1">
      <c r="A579" s="351">
        <v>33</v>
      </c>
      <c r="B579" s="352" t="s">
        <v>487</v>
      </c>
      <c r="C579" s="353"/>
      <c r="D579" s="353"/>
      <c r="E579" s="353"/>
      <c r="F579" s="354"/>
      <c r="G579" s="354"/>
      <c r="H579" s="354"/>
      <c r="I579" s="355"/>
    </row>
    <row r="580" spans="1:9" hidden="1">
      <c r="A580" s="334"/>
      <c r="B580" s="335">
        <v>0.03</v>
      </c>
      <c r="C580" s="336"/>
      <c r="D580" s="336" t="s">
        <v>3</v>
      </c>
      <c r="E580" s="336"/>
      <c r="F580" s="337">
        <f>[2]Hardas!$E$10</f>
        <v>100000</v>
      </c>
      <c r="G580" s="338">
        <f>F580*B580</f>
        <v>3000</v>
      </c>
      <c r="H580" s="338"/>
      <c r="I580" s="339"/>
    </row>
    <row r="581" spans="1:9" hidden="1">
      <c r="A581" s="334"/>
      <c r="B581" s="335">
        <v>3.5000000000000003E-2</v>
      </c>
      <c r="C581" s="336"/>
      <c r="D581" s="336" t="s">
        <v>4</v>
      </c>
      <c r="E581" s="336"/>
      <c r="F581" s="338">
        <f>[2]Hardas!$E$11</f>
        <v>91000</v>
      </c>
      <c r="G581" s="338">
        <f>F581*B581</f>
        <v>3185.0000000000005</v>
      </c>
      <c r="H581" s="338"/>
      <c r="I581" s="339"/>
    </row>
    <row r="582" spans="1:9" hidden="1">
      <c r="A582" s="334"/>
      <c r="B582" s="335">
        <v>0.35</v>
      </c>
      <c r="C582" s="336"/>
      <c r="D582" s="336" t="s">
        <v>428</v>
      </c>
      <c r="E582" s="336"/>
      <c r="F582" s="338">
        <f>[2]Hardas!$E$14</f>
        <v>82000</v>
      </c>
      <c r="G582" s="338">
        <f>F582*B582</f>
        <v>28699.999999999996</v>
      </c>
      <c r="H582" s="338"/>
      <c r="I582" s="339"/>
    </row>
    <row r="583" spans="1:9" hidden="1">
      <c r="A583" s="334"/>
      <c r="B583" s="335">
        <v>0.62</v>
      </c>
      <c r="C583" s="336"/>
      <c r="D583" s="336" t="s">
        <v>6</v>
      </c>
      <c r="E583" s="336"/>
      <c r="F583" s="338">
        <f>[2]Hardas!$E$21</f>
        <v>59000</v>
      </c>
      <c r="G583" s="338">
        <f>F583*B583</f>
        <v>36580</v>
      </c>
      <c r="H583" s="338"/>
      <c r="I583" s="339"/>
    </row>
    <row r="584" spans="1:9" hidden="1">
      <c r="A584" s="329"/>
      <c r="B584" s="330"/>
      <c r="C584" s="331"/>
      <c r="D584" s="331"/>
      <c r="E584" s="331" t="s">
        <v>405</v>
      </c>
      <c r="F584" s="332"/>
      <c r="G584" s="332"/>
      <c r="H584" s="332"/>
      <c r="I584" s="333">
        <f>SUM(G580:G584)</f>
        <v>71465</v>
      </c>
    </row>
    <row r="585" spans="1:9" hidden="1">
      <c r="A585" s="334"/>
      <c r="B585" s="335"/>
      <c r="C585" s="336"/>
      <c r="D585" s="336"/>
      <c r="E585" s="336"/>
      <c r="F585" s="338"/>
      <c r="G585" s="338"/>
      <c r="H585" s="338"/>
      <c r="I585" s="339"/>
    </row>
    <row r="586" spans="1:9" hidden="1">
      <c r="A586" s="334"/>
      <c r="B586" s="335">
        <v>12</v>
      </c>
      <c r="C586" s="336" t="s">
        <v>433</v>
      </c>
      <c r="D586" s="336" t="s">
        <v>24</v>
      </c>
      <c r="E586" s="336"/>
      <c r="F586" s="338">
        <f>[2]Hardas!$E$125</f>
        <v>8600</v>
      </c>
      <c r="G586" s="338"/>
      <c r="H586" s="338">
        <f>F586*B586</f>
        <v>103200</v>
      </c>
      <c r="I586" s="339"/>
    </row>
    <row r="587" spans="1:9" hidden="1">
      <c r="A587" s="334"/>
      <c r="B587" s="335">
        <v>10</v>
      </c>
      <c r="C587" s="336" t="s">
        <v>7</v>
      </c>
      <c r="D587" s="336" t="s">
        <v>467</v>
      </c>
      <c r="E587" s="336"/>
      <c r="F587" s="338">
        <f>[2]Hardas!$E$40</f>
        <v>1050</v>
      </c>
      <c r="G587" s="338"/>
      <c r="H587" s="338">
        <f>F587*B587</f>
        <v>10500</v>
      </c>
      <c r="I587" s="339"/>
    </row>
    <row r="588" spans="1:9" hidden="1">
      <c r="A588" s="334"/>
      <c r="B588" s="335">
        <v>4.4999999999999998E-2</v>
      </c>
      <c r="C588" s="336" t="s">
        <v>406</v>
      </c>
      <c r="D588" s="336" t="s">
        <v>432</v>
      </c>
      <c r="E588" s="336"/>
      <c r="F588" s="338">
        <f>[2]Hardas!$E$28</f>
        <v>115000</v>
      </c>
      <c r="G588" s="338"/>
      <c r="H588" s="338">
        <f>F588*B588</f>
        <v>5175</v>
      </c>
      <c r="I588" s="339"/>
    </row>
    <row r="589" spans="1:9" hidden="1">
      <c r="A589" s="334"/>
      <c r="B589" s="335">
        <v>1.5</v>
      </c>
      <c r="C589" s="336" t="s">
        <v>7</v>
      </c>
      <c r="D589" s="336" t="s">
        <v>488</v>
      </c>
      <c r="E589" s="336"/>
      <c r="F589" s="338">
        <f>[2]Hardas!$E$137</f>
        <v>9090</v>
      </c>
      <c r="G589" s="338"/>
      <c r="H589" s="338">
        <f>F589*B589</f>
        <v>13635</v>
      </c>
      <c r="I589" s="339"/>
    </row>
    <row r="590" spans="1:9" hidden="1">
      <c r="A590" s="329"/>
      <c r="B590" s="330"/>
      <c r="C590" s="331"/>
      <c r="D590" s="331"/>
      <c r="E590" s="331" t="s">
        <v>410</v>
      </c>
      <c r="F590" s="332"/>
      <c r="G590" s="332"/>
      <c r="H590" s="332"/>
      <c r="I590" s="333">
        <f>SUM(H586:H590)</f>
        <v>132510</v>
      </c>
    </row>
    <row r="591" spans="1:9" hidden="1">
      <c r="A591" s="334"/>
      <c r="B591" s="335"/>
      <c r="C591" s="336"/>
      <c r="D591" s="336"/>
      <c r="E591" s="336"/>
      <c r="F591" s="338"/>
      <c r="G591" s="338"/>
      <c r="H591" s="338"/>
      <c r="I591" s="339"/>
    </row>
    <row r="592" spans="1:9" hidden="1">
      <c r="A592" s="334"/>
      <c r="B592" s="335"/>
      <c r="C592" s="336"/>
      <c r="D592" s="336"/>
      <c r="E592" s="336"/>
      <c r="F592" s="338"/>
      <c r="G592" s="338"/>
      <c r="H592" s="338"/>
      <c r="I592" s="339"/>
    </row>
    <row r="593" spans="1:9" hidden="1">
      <c r="A593" s="334"/>
      <c r="B593" s="335"/>
      <c r="C593" s="336"/>
      <c r="D593" s="336"/>
      <c r="E593" s="336"/>
      <c r="F593" s="338"/>
      <c r="G593" s="338"/>
      <c r="H593" s="338"/>
      <c r="I593" s="339"/>
    </row>
    <row r="594" spans="1:9" hidden="1">
      <c r="A594" s="329"/>
      <c r="B594" s="330"/>
      <c r="C594" s="331"/>
      <c r="D594" s="331"/>
      <c r="E594" s="331" t="s">
        <v>411</v>
      </c>
      <c r="F594" s="332"/>
      <c r="G594" s="332"/>
      <c r="H594" s="332"/>
      <c r="I594" s="333"/>
    </row>
    <row r="595" spans="1:9" hidden="1">
      <c r="A595" s="329"/>
      <c r="B595" s="330"/>
      <c r="C595" s="331"/>
      <c r="D595" s="331" t="s">
        <v>412</v>
      </c>
      <c r="E595" s="331"/>
      <c r="F595" s="332"/>
      <c r="G595" s="332"/>
      <c r="H595" s="332"/>
      <c r="I595" s="333">
        <f>SUM(I580:I594)</f>
        <v>203975</v>
      </c>
    </row>
    <row r="596" spans="1:9" hidden="1">
      <c r="A596" s="329"/>
      <c r="B596" s="330"/>
      <c r="C596" s="331"/>
      <c r="D596" s="331" t="s">
        <v>413</v>
      </c>
      <c r="E596" s="331"/>
      <c r="F596" s="332"/>
      <c r="G596" s="332"/>
      <c r="H596" s="332"/>
      <c r="I596" s="333">
        <f>I595*0.1</f>
        <v>20397.5</v>
      </c>
    </row>
    <row r="597" spans="1:9" hidden="1">
      <c r="A597" s="385"/>
      <c r="B597" s="361"/>
      <c r="C597" s="362"/>
      <c r="D597" s="363" t="s">
        <v>414</v>
      </c>
      <c r="E597" s="362"/>
      <c r="F597" s="364"/>
      <c r="G597" s="364"/>
      <c r="H597" s="364"/>
      <c r="I597" s="365">
        <f>ROUNDDOWN(I596+I595,0)</f>
        <v>224372</v>
      </c>
    </row>
    <row r="598" spans="1:9" ht="13.5" hidden="1" thickBot="1">
      <c r="A598" s="386"/>
      <c r="B598" s="367"/>
      <c r="C598" s="368"/>
      <c r="D598" s="369"/>
      <c r="E598" s="368"/>
      <c r="F598" s="370"/>
      <c r="G598" s="370"/>
      <c r="H598" s="370"/>
      <c r="I598" s="371"/>
    </row>
    <row r="599" spans="1:9" ht="14.25" hidden="1" thickTop="1" thickBot="1">
      <c r="A599" s="309" t="s">
        <v>0</v>
      </c>
      <c r="B599" s="380" t="s">
        <v>397</v>
      </c>
      <c r="C599" s="310" t="s">
        <v>398</v>
      </c>
      <c r="D599" s="310" t="s">
        <v>1</v>
      </c>
      <c r="E599" s="311"/>
      <c r="F599" s="381" t="s">
        <v>399</v>
      </c>
      <c r="G599" s="381" t="s">
        <v>400</v>
      </c>
      <c r="H599" s="381" t="s">
        <v>401</v>
      </c>
      <c r="I599" s="382" t="s">
        <v>402</v>
      </c>
    </row>
    <row r="600" spans="1:9" ht="13.5" hidden="1" thickTop="1">
      <c r="A600" s="351">
        <v>34</v>
      </c>
      <c r="B600" s="352" t="s">
        <v>489</v>
      </c>
      <c r="C600" s="353"/>
      <c r="D600" s="353"/>
      <c r="E600" s="353"/>
      <c r="F600" s="354"/>
      <c r="G600" s="354"/>
      <c r="H600" s="354"/>
      <c r="I600" s="355"/>
    </row>
    <row r="601" spans="1:9" hidden="1">
      <c r="A601" s="334"/>
      <c r="B601" s="335">
        <v>0.03</v>
      </c>
      <c r="C601" s="336"/>
      <c r="D601" s="336" t="s">
        <v>3</v>
      </c>
      <c r="E601" s="336"/>
      <c r="F601" s="337">
        <f>[2]Hardas!$E$10</f>
        <v>100000</v>
      </c>
      <c r="G601" s="338">
        <f>F601*B601</f>
        <v>3000</v>
      </c>
      <c r="H601" s="338"/>
      <c r="I601" s="339"/>
    </row>
    <row r="602" spans="1:9" hidden="1">
      <c r="A602" s="334"/>
      <c r="B602" s="335">
        <v>3.4000000000000002E-2</v>
      </c>
      <c r="C602" s="336"/>
      <c r="D602" s="336" t="s">
        <v>4</v>
      </c>
      <c r="E602" s="336"/>
      <c r="F602" s="338">
        <f>[2]Hardas!$E$11</f>
        <v>91000</v>
      </c>
      <c r="G602" s="338">
        <f>F602*B602</f>
        <v>3094</v>
      </c>
      <c r="H602" s="338"/>
      <c r="I602" s="339"/>
    </row>
    <row r="603" spans="1:9" hidden="1">
      <c r="A603" s="334"/>
      <c r="B603" s="335">
        <v>0.38</v>
      </c>
      <c r="C603" s="336"/>
      <c r="D603" s="336" t="s">
        <v>428</v>
      </c>
      <c r="E603" s="336"/>
      <c r="F603" s="338">
        <f>[2]Hardas!$E$14</f>
        <v>82000</v>
      </c>
      <c r="G603" s="338">
        <f>F603*B603</f>
        <v>31160</v>
      </c>
      <c r="H603" s="338"/>
      <c r="I603" s="339"/>
    </row>
    <row r="604" spans="1:9" hidden="1">
      <c r="A604" s="334"/>
      <c r="B604" s="335">
        <v>0.61</v>
      </c>
      <c r="C604" s="336"/>
      <c r="D604" s="336" t="s">
        <v>6</v>
      </c>
      <c r="E604" s="336"/>
      <c r="F604" s="338">
        <f>[2]Hardas!$E$21</f>
        <v>59000</v>
      </c>
      <c r="G604" s="338">
        <f>F604*B604</f>
        <v>35990</v>
      </c>
      <c r="H604" s="338"/>
      <c r="I604" s="339"/>
    </row>
    <row r="605" spans="1:9" hidden="1">
      <c r="A605" s="329"/>
      <c r="B605" s="330"/>
      <c r="C605" s="331"/>
      <c r="D605" s="331"/>
      <c r="E605" s="331" t="s">
        <v>405</v>
      </c>
      <c r="F605" s="332"/>
      <c r="G605" s="332"/>
      <c r="H605" s="332"/>
      <c r="I605" s="333">
        <f>SUM(G601:G605)</f>
        <v>73244</v>
      </c>
    </row>
    <row r="606" spans="1:9" hidden="1">
      <c r="A606" s="334"/>
      <c r="B606" s="335"/>
      <c r="C606" s="336"/>
      <c r="D606" s="336"/>
      <c r="E606" s="336"/>
      <c r="F606" s="338"/>
      <c r="G606" s="338"/>
      <c r="H606" s="338"/>
      <c r="I606" s="339"/>
    </row>
    <row r="607" spans="1:9" hidden="1">
      <c r="A607" s="334"/>
      <c r="B607" s="335">
        <v>7</v>
      </c>
      <c r="C607" s="336" t="s">
        <v>433</v>
      </c>
      <c r="D607" s="336" t="s">
        <v>25</v>
      </c>
      <c r="E607" s="336"/>
      <c r="F607" s="338">
        <f>[2]Hardas!$E$126</f>
        <v>8600</v>
      </c>
      <c r="G607" s="338"/>
      <c r="H607" s="338">
        <f>F607*B607</f>
        <v>60200</v>
      </c>
      <c r="I607" s="339"/>
    </row>
    <row r="608" spans="1:9" hidden="1">
      <c r="A608" s="334"/>
      <c r="B608" s="335">
        <v>15</v>
      </c>
      <c r="C608" s="336" t="s">
        <v>7</v>
      </c>
      <c r="D608" s="336" t="s">
        <v>467</v>
      </c>
      <c r="E608" s="336"/>
      <c r="F608" s="338">
        <f>[2]Hardas!$E$40</f>
        <v>1050</v>
      </c>
      <c r="G608" s="338"/>
      <c r="H608" s="338">
        <f>F608*B608</f>
        <v>15750</v>
      </c>
      <c r="I608" s="339"/>
    </row>
    <row r="609" spans="1:9" hidden="1">
      <c r="A609" s="334"/>
      <c r="B609" s="335">
        <v>0.04</v>
      </c>
      <c r="C609" s="336" t="s">
        <v>406</v>
      </c>
      <c r="D609" s="336" t="s">
        <v>432</v>
      </c>
      <c r="E609" s="336"/>
      <c r="F609" s="338">
        <f>[2]Hardas!$E$28</f>
        <v>115000</v>
      </c>
      <c r="G609" s="338"/>
      <c r="H609" s="338">
        <f>F609*B609</f>
        <v>4600</v>
      </c>
      <c r="I609" s="339"/>
    </row>
    <row r="610" spans="1:9" hidden="1">
      <c r="A610" s="334"/>
      <c r="B610" s="335">
        <v>1.5</v>
      </c>
      <c r="C610" s="336" t="s">
        <v>7</v>
      </c>
      <c r="D610" s="336" t="s">
        <v>488</v>
      </c>
      <c r="E610" s="336"/>
      <c r="F610" s="338">
        <f>[2]Hardas!$E$137</f>
        <v>9090</v>
      </c>
      <c r="G610" s="338"/>
      <c r="H610" s="338">
        <f>F610*B610</f>
        <v>13635</v>
      </c>
      <c r="I610" s="339"/>
    </row>
    <row r="611" spans="1:9" hidden="1">
      <c r="A611" s="329"/>
      <c r="B611" s="330"/>
      <c r="C611" s="331"/>
      <c r="D611" s="331"/>
      <c r="E611" s="331" t="s">
        <v>410</v>
      </c>
      <c r="F611" s="332"/>
      <c r="G611" s="332"/>
      <c r="H611" s="332"/>
      <c r="I611" s="333">
        <f>SUM(H607:H611)</f>
        <v>94185</v>
      </c>
    </row>
    <row r="612" spans="1:9" hidden="1">
      <c r="A612" s="334"/>
      <c r="B612" s="335"/>
      <c r="C612" s="336"/>
      <c r="D612" s="336"/>
      <c r="E612" s="336"/>
      <c r="F612" s="338"/>
      <c r="G612" s="338"/>
      <c r="H612" s="338"/>
      <c r="I612" s="339"/>
    </row>
    <row r="613" spans="1:9" hidden="1">
      <c r="A613" s="334"/>
      <c r="B613" s="335"/>
      <c r="C613" s="336"/>
      <c r="D613" s="336"/>
      <c r="E613" s="336"/>
      <c r="F613" s="338"/>
      <c r="G613" s="338"/>
      <c r="H613" s="338"/>
      <c r="I613" s="339"/>
    </row>
    <row r="614" spans="1:9" hidden="1">
      <c r="A614" s="334"/>
      <c r="B614" s="335"/>
      <c r="C614" s="336"/>
      <c r="D614" s="336"/>
      <c r="E614" s="336"/>
      <c r="F614" s="338"/>
      <c r="G614" s="338"/>
      <c r="H614" s="338"/>
      <c r="I614" s="339"/>
    </row>
    <row r="615" spans="1:9" hidden="1">
      <c r="A615" s="329"/>
      <c r="B615" s="330"/>
      <c r="C615" s="331"/>
      <c r="D615" s="331"/>
      <c r="E615" s="331" t="s">
        <v>411</v>
      </c>
      <c r="F615" s="332"/>
      <c r="G615" s="332"/>
      <c r="H615" s="332"/>
      <c r="I615" s="333"/>
    </row>
    <row r="616" spans="1:9" hidden="1">
      <c r="A616" s="329"/>
      <c r="B616" s="330"/>
      <c r="C616" s="331"/>
      <c r="D616" s="331" t="s">
        <v>412</v>
      </c>
      <c r="E616" s="331"/>
      <c r="F616" s="332"/>
      <c r="G616" s="332"/>
      <c r="H616" s="332"/>
      <c r="I616" s="333">
        <f>SUM(I601:I615)</f>
        <v>167429</v>
      </c>
    </row>
    <row r="617" spans="1:9" hidden="1">
      <c r="A617" s="329"/>
      <c r="B617" s="330"/>
      <c r="C617" s="331"/>
      <c r="D617" s="331" t="s">
        <v>413</v>
      </c>
      <c r="E617" s="331"/>
      <c r="F617" s="332"/>
      <c r="G617" s="332"/>
      <c r="H617" s="332"/>
      <c r="I617" s="333">
        <f>I616*0.1</f>
        <v>16742.900000000001</v>
      </c>
    </row>
    <row r="618" spans="1:9" hidden="1">
      <c r="A618" s="385"/>
      <c r="B618" s="361"/>
      <c r="C618" s="362"/>
      <c r="D618" s="363" t="s">
        <v>414</v>
      </c>
      <c r="E618" s="362"/>
      <c r="F618" s="364"/>
      <c r="G618" s="364"/>
      <c r="H618" s="364"/>
      <c r="I618" s="365">
        <f>ROUNDDOWN(I617+I616,0)</f>
        <v>184171</v>
      </c>
    </row>
    <row r="619" spans="1:9" ht="13.5" hidden="1" thickBot="1">
      <c r="A619" s="386"/>
      <c r="B619" s="367"/>
      <c r="C619" s="368"/>
      <c r="D619" s="369"/>
      <c r="E619" s="368"/>
      <c r="F619" s="370"/>
      <c r="G619" s="370"/>
      <c r="H619" s="370"/>
      <c r="I619" s="371"/>
    </row>
    <row r="620" spans="1:9" ht="14.25" hidden="1" thickTop="1" thickBot="1">
      <c r="A620" s="309" t="s">
        <v>0</v>
      </c>
      <c r="B620" s="380" t="s">
        <v>397</v>
      </c>
      <c r="C620" s="310" t="s">
        <v>398</v>
      </c>
      <c r="D620" s="310" t="s">
        <v>1</v>
      </c>
      <c r="E620" s="311"/>
      <c r="F620" s="381" t="s">
        <v>399</v>
      </c>
      <c r="G620" s="381" t="s">
        <v>400</v>
      </c>
      <c r="H620" s="381" t="s">
        <v>401</v>
      </c>
      <c r="I620" s="382" t="s">
        <v>402</v>
      </c>
    </row>
    <row r="621" spans="1:9" ht="13.5" hidden="1" thickTop="1">
      <c r="A621" s="351">
        <v>35</v>
      </c>
      <c r="B621" s="352" t="s">
        <v>490</v>
      </c>
      <c r="C621" s="353"/>
      <c r="D621" s="353"/>
      <c r="E621" s="353"/>
      <c r="F621" s="354"/>
      <c r="G621" s="354"/>
      <c r="H621" s="354"/>
      <c r="I621" s="355"/>
    </row>
    <row r="622" spans="1:9" hidden="1">
      <c r="A622" s="334"/>
      <c r="B622" s="335">
        <v>0.03</v>
      </c>
      <c r="C622" s="336"/>
      <c r="D622" s="336" t="s">
        <v>3</v>
      </c>
      <c r="E622" s="336"/>
      <c r="F622" s="337">
        <f>[2]Hardas!$E$10</f>
        <v>100000</v>
      </c>
      <c r="G622" s="338">
        <f>F622*B622</f>
        <v>3000</v>
      </c>
      <c r="H622" s="338"/>
      <c r="I622" s="339"/>
    </row>
    <row r="623" spans="1:9" hidden="1">
      <c r="A623" s="334"/>
      <c r="B623" s="335">
        <v>2.5000000000000001E-2</v>
      </c>
      <c r="C623" s="336"/>
      <c r="D623" s="336" t="s">
        <v>4</v>
      </c>
      <c r="E623" s="336"/>
      <c r="F623" s="338">
        <f>[2]Hardas!$E$11</f>
        <v>91000</v>
      </c>
      <c r="G623" s="338">
        <f>F623*B623</f>
        <v>2275</v>
      </c>
      <c r="H623" s="338"/>
      <c r="I623" s="339"/>
    </row>
    <row r="624" spans="1:9" hidden="1">
      <c r="A624" s="334"/>
      <c r="B624" s="335">
        <v>0.15</v>
      </c>
      <c r="C624" s="336"/>
      <c r="D624" s="336" t="s">
        <v>428</v>
      </c>
      <c r="E624" s="336"/>
      <c r="F624" s="338">
        <f>[2]Hardas!$E$14</f>
        <v>82000</v>
      </c>
      <c r="G624" s="338">
        <f>F624*B624</f>
        <v>12300</v>
      </c>
      <c r="H624" s="338"/>
      <c r="I624" s="339"/>
    </row>
    <row r="625" spans="1:9" hidden="1">
      <c r="A625" s="334"/>
      <c r="B625" s="335">
        <v>0.25</v>
      </c>
      <c r="C625" s="336"/>
      <c r="D625" s="336" t="s">
        <v>6</v>
      </c>
      <c r="E625" s="336"/>
      <c r="F625" s="338">
        <f>[2]Hardas!$E$21</f>
        <v>59000</v>
      </c>
      <c r="G625" s="338">
        <f>F625*B625</f>
        <v>14750</v>
      </c>
      <c r="H625" s="338"/>
      <c r="I625" s="339"/>
    </row>
    <row r="626" spans="1:9" hidden="1">
      <c r="A626" s="329"/>
      <c r="B626" s="330"/>
      <c r="C626" s="331"/>
      <c r="D626" s="331"/>
      <c r="E626" s="331" t="s">
        <v>405</v>
      </c>
      <c r="F626" s="332"/>
      <c r="G626" s="332"/>
      <c r="H626" s="332"/>
      <c r="I626" s="333">
        <f>SUM(G622:G626)</f>
        <v>32325</v>
      </c>
    </row>
    <row r="627" spans="1:9" hidden="1">
      <c r="A627" s="334"/>
      <c r="B627" s="335"/>
      <c r="C627" s="336"/>
      <c r="D627" s="336"/>
      <c r="E627" s="336"/>
      <c r="F627" s="338"/>
      <c r="G627" s="338"/>
      <c r="H627" s="338"/>
      <c r="I627" s="339"/>
    </row>
    <row r="628" spans="1:9" hidden="1">
      <c r="A628" s="334"/>
      <c r="B628" s="335">
        <v>4</v>
      </c>
      <c r="C628" s="336" t="s">
        <v>433</v>
      </c>
      <c r="D628" s="336" t="s">
        <v>26</v>
      </c>
      <c r="E628" s="336"/>
      <c r="F628" s="338">
        <f>[2]Hardas!$E$127</f>
        <v>34380</v>
      </c>
      <c r="G628" s="338"/>
      <c r="H628" s="338">
        <f>F628*B628</f>
        <v>137520</v>
      </c>
      <c r="I628" s="339"/>
    </row>
    <row r="629" spans="1:9" hidden="1">
      <c r="A629" s="334"/>
      <c r="B629" s="335">
        <v>13</v>
      </c>
      <c r="C629" s="336" t="s">
        <v>7</v>
      </c>
      <c r="D629" s="336" t="s">
        <v>467</v>
      </c>
      <c r="E629" s="336"/>
      <c r="F629" s="338">
        <f>[2]Hardas!$E$40</f>
        <v>1050</v>
      </c>
      <c r="G629" s="338"/>
      <c r="H629" s="338">
        <f>F629*B629</f>
        <v>13650</v>
      </c>
      <c r="I629" s="339"/>
    </row>
    <row r="630" spans="1:9" hidden="1">
      <c r="A630" s="334"/>
      <c r="B630" s="335">
        <v>0.05</v>
      </c>
      <c r="C630" s="336" t="s">
        <v>406</v>
      </c>
      <c r="D630" s="336" t="s">
        <v>432</v>
      </c>
      <c r="E630" s="336"/>
      <c r="F630" s="338">
        <f>[2]Hardas!$E$28</f>
        <v>115000</v>
      </c>
      <c r="G630" s="338"/>
      <c r="H630" s="338">
        <f>F630*B630</f>
        <v>5750</v>
      </c>
      <c r="I630" s="339"/>
    </row>
    <row r="631" spans="1:9" hidden="1">
      <c r="A631" s="334"/>
      <c r="B631" s="335">
        <v>1.1000000000000001</v>
      </c>
      <c r="C631" s="336" t="s">
        <v>7</v>
      </c>
      <c r="D631" s="336" t="s">
        <v>488</v>
      </c>
      <c r="E631" s="336"/>
      <c r="F631" s="338">
        <f>[2]Hardas!$E$137</f>
        <v>9090</v>
      </c>
      <c r="G631" s="338"/>
      <c r="H631" s="338">
        <f>F631*B631</f>
        <v>9999</v>
      </c>
      <c r="I631" s="339"/>
    </row>
    <row r="632" spans="1:9" hidden="1">
      <c r="A632" s="329"/>
      <c r="B632" s="330"/>
      <c r="C632" s="331"/>
      <c r="D632" s="331"/>
      <c r="E632" s="331" t="s">
        <v>410</v>
      </c>
      <c r="F632" s="332"/>
      <c r="G632" s="332"/>
      <c r="H632" s="332"/>
      <c r="I632" s="333">
        <f>SUM(H628:H632)</f>
        <v>166919</v>
      </c>
    </row>
    <row r="633" spans="1:9" hidden="1">
      <c r="A633" s="334"/>
      <c r="B633" s="335"/>
      <c r="C633" s="336"/>
      <c r="D633" s="336"/>
      <c r="E633" s="336"/>
      <c r="F633" s="338"/>
      <c r="G633" s="338"/>
      <c r="H633" s="338"/>
      <c r="I633" s="339"/>
    </row>
    <row r="634" spans="1:9" hidden="1">
      <c r="A634" s="334"/>
      <c r="B634" s="335"/>
      <c r="C634" s="336"/>
      <c r="D634" s="336"/>
      <c r="E634" s="336"/>
      <c r="F634" s="338"/>
      <c r="G634" s="338"/>
      <c r="H634" s="338"/>
      <c r="I634" s="339"/>
    </row>
    <row r="635" spans="1:9" hidden="1">
      <c r="A635" s="329"/>
      <c r="B635" s="330"/>
      <c r="C635" s="331"/>
      <c r="D635" s="331"/>
      <c r="E635" s="331" t="s">
        <v>411</v>
      </c>
      <c r="F635" s="332"/>
      <c r="G635" s="332"/>
      <c r="H635" s="332"/>
      <c r="I635" s="333"/>
    </row>
    <row r="636" spans="1:9" hidden="1">
      <c r="A636" s="329"/>
      <c r="B636" s="330"/>
      <c r="C636" s="331"/>
      <c r="D636" s="331" t="s">
        <v>412</v>
      </c>
      <c r="E636" s="331"/>
      <c r="F636" s="332"/>
      <c r="G636" s="332"/>
      <c r="H636" s="332"/>
      <c r="I636" s="333">
        <f>SUM(I622:I635)</f>
        <v>199244</v>
      </c>
    </row>
    <row r="637" spans="1:9" hidden="1">
      <c r="A637" s="329"/>
      <c r="B637" s="330"/>
      <c r="C637" s="331"/>
      <c r="D637" s="331" t="s">
        <v>413</v>
      </c>
      <c r="E637" s="331"/>
      <c r="F637" s="332"/>
      <c r="G637" s="332"/>
      <c r="H637" s="332"/>
      <c r="I637" s="333">
        <f>I636*0.1</f>
        <v>19924.400000000001</v>
      </c>
    </row>
    <row r="638" spans="1:9" hidden="1">
      <c r="A638" s="385"/>
      <c r="B638" s="361"/>
      <c r="C638" s="362"/>
      <c r="D638" s="363" t="s">
        <v>414</v>
      </c>
      <c r="E638" s="362"/>
      <c r="F638" s="364"/>
      <c r="G638" s="364"/>
      <c r="H638" s="364"/>
      <c r="I638" s="365">
        <f>ROUNDDOWN(I637+I636,0)</f>
        <v>219168</v>
      </c>
    </row>
    <row r="639" spans="1:9" ht="13.5" hidden="1" thickBot="1">
      <c r="A639" s="386"/>
      <c r="B639" s="367"/>
      <c r="C639" s="368"/>
      <c r="D639" s="369"/>
      <c r="E639" s="368"/>
      <c r="F639" s="370"/>
      <c r="G639" s="370"/>
      <c r="H639" s="370"/>
      <c r="I639" s="371"/>
    </row>
    <row r="640" spans="1:9" ht="14.25" hidden="1" thickTop="1" thickBot="1">
      <c r="A640" s="309" t="s">
        <v>0</v>
      </c>
      <c r="B640" s="380" t="s">
        <v>397</v>
      </c>
      <c r="C640" s="310" t="s">
        <v>398</v>
      </c>
      <c r="D640" s="310" t="s">
        <v>1</v>
      </c>
      <c r="E640" s="311"/>
      <c r="F640" s="381" t="s">
        <v>399</v>
      </c>
      <c r="G640" s="381" t="s">
        <v>400</v>
      </c>
      <c r="H640" s="381" t="s">
        <v>401</v>
      </c>
      <c r="I640" s="382" t="s">
        <v>402</v>
      </c>
    </row>
    <row r="641" spans="1:9" ht="13.5" hidden="1" thickTop="1">
      <c r="A641" s="351">
        <v>36</v>
      </c>
      <c r="B641" s="352" t="s">
        <v>491</v>
      </c>
      <c r="C641" s="353"/>
      <c r="D641" s="353"/>
      <c r="E641" s="353"/>
      <c r="F641" s="354"/>
      <c r="G641" s="354"/>
      <c r="H641" s="354"/>
      <c r="I641" s="355"/>
    </row>
    <row r="642" spans="1:9" hidden="1">
      <c r="A642" s="334"/>
      <c r="B642" s="335">
        <v>0.03</v>
      </c>
      <c r="C642" s="336"/>
      <c r="D642" s="336" t="s">
        <v>3</v>
      </c>
      <c r="E642" s="336"/>
      <c r="F642" s="337">
        <f>[2]Hardas!$E$10</f>
        <v>100000</v>
      </c>
      <c r="G642" s="338">
        <f>F642*B642</f>
        <v>3000</v>
      </c>
      <c r="H642" s="338"/>
      <c r="I642" s="339"/>
    </row>
    <row r="643" spans="1:9" hidden="1">
      <c r="A643" s="334"/>
      <c r="B643" s="335">
        <v>2.5000000000000001E-2</v>
      </c>
      <c r="C643" s="336"/>
      <c r="D643" s="336" t="s">
        <v>4</v>
      </c>
      <c r="E643" s="336"/>
      <c r="F643" s="338">
        <f>[2]Hardas!$E$11</f>
        <v>91000</v>
      </c>
      <c r="G643" s="338">
        <f>F643*B643</f>
        <v>2275</v>
      </c>
      <c r="H643" s="338"/>
      <c r="I643" s="339"/>
    </row>
    <row r="644" spans="1:9" hidden="1">
      <c r="A644" s="334"/>
      <c r="B644" s="335">
        <v>0.15</v>
      </c>
      <c r="C644" s="336"/>
      <c r="D644" s="336" t="s">
        <v>428</v>
      </c>
      <c r="E644" s="336"/>
      <c r="F644" s="338">
        <f>[2]Hardas!$E$14</f>
        <v>82000</v>
      </c>
      <c r="G644" s="338">
        <f>F644*B644</f>
        <v>12300</v>
      </c>
      <c r="H644" s="338"/>
      <c r="I644" s="339"/>
    </row>
    <row r="645" spans="1:9" hidden="1">
      <c r="A645" s="334"/>
      <c r="B645" s="335">
        <v>0.25</v>
      </c>
      <c r="C645" s="336"/>
      <c r="D645" s="336" t="s">
        <v>6</v>
      </c>
      <c r="E645" s="336"/>
      <c r="F645" s="338">
        <f>[2]Hardas!$E$21</f>
        <v>59000</v>
      </c>
      <c r="G645" s="338">
        <f>F645*B645</f>
        <v>14750</v>
      </c>
      <c r="H645" s="338"/>
      <c r="I645" s="339"/>
    </row>
    <row r="646" spans="1:9" hidden="1">
      <c r="A646" s="329"/>
      <c r="B646" s="330"/>
      <c r="C646" s="331"/>
      <c r="D646" s="331"/>
      <c r="E646" s="331" t="s">
        <v>405</v>
      </c>
      <c r="F646" s="332"/>
      <c r="G646" s="332"/>
      <c r="H646" s="332"/>
      <c r="I646" s="333">
        <f>SUM(G642:G646)</f>
        <v>32325</v>
      </c>
    </row>
    <row r="647" spans="1:9" hidden="1">
      <c r="A647" s="334"/>
      <c r="B647" s="335"/>
      <c r="C647" s="336"/>
      <c r="D647" s="336"/>
      <c r="E647" s="336"/>
      <c r="F647" s="338"/>
      <c r="G647" s="338"/>
      <c r="H647" s="338"/>
      <c r="I647" s="339"/>
    </row>
    <row r="648" spans="1:9" hidden="1">
      <c r="A648" s="334"/>
      <c r="B648" s="335">
        <v>6</v>
      </c>
      <c r="C648" s="336" t="s">
        <v>433</v>
      </c>
      <c r="D648" s="336" t="s">
        <v>27</v>
      </c>
      <c r="E648" s="336"/>
      <c r="F648" s="338">
        <f>[2]Hardas!$E$128</f>
        <v>17190</v>
      </c>
      <c r="G648" s="338"/>
      <c r="H648" s="338">
        <f>F648*B648</f>
        <v>103140</v>
      </c>
      <c r="I648" s="339"/>
    </row>
    <row r="649" spans="1:9" hidden="1">
      <c r="A649" s="334"/>
      <c r="B649" s="335">
        <v>13</v>
      </c>
      <c r="C649" s="336" t="s">
        <v>7</v>
      </c>
      <c r="D649" s="336" t="s">
        <v>467</v>
      </c>
      <c r="E649" s="336"/>
      <c r="F649" s="338">
        <f>[2]Hardas!$E$40</f>
        <v>1050</v>
      </c>
      <c r="G649" s="338"/>
      <c r="H649" s="338">
        <f>F649*B649</f>
        <v>13650</v>
      </c>
      <c r="I649" s="339"/>
    </row>
    <row r="650" spans="1:9" hidden="1">
      <c r="A650" s="334"/>
      <c r="B650" s="335">
        <v>0.05</v>
      </c>
      <c r="C650" s="336" t="s">
        <v>406</v>
      </c>
      <c r="D650" s="336" t="s">
        <v>432</v>
      </c>
      <c r="E650" s="336"/>
      <c r="F650" s="338">
        <f>[2]Hardas!$E$28</f>
        <v>115000</v>
      </c>
      <c r="G650" s="338"/>
      <c r="H650" s="338">
        <f>F650*B650</f>
        <v>5750</v>
      </c>
      <c r="I650" s="339"/>
    </row>
    <row r="651" spans="1:9" hidden="1">
      <c r="A651" s="334"/>
      <c r="B651" s="335">
        <v>1.1000000000000001</v>
      </c>
      <c r="C651" s="336" t="s">
        <v>7</v>
      </c>
      <c r="D651" s="336" t="s">
        <v>488</v>
      </c>
      <c r="E651" s="336"/>
      <c r="F651" s="338">
        <f>[2]Hardas!$E$137</f>
        <v>9090</v>
      </c>
      <c r="G651" s="338"/>
      <c r="H651" s="338">
        <f>F651*B651</f>
        <v>9999</v>
      </c>
      <c r="I651" s="339"/>
    </row>
    <row r="652" spans="1:9" hidden="1">
      <c r="A652" s="329"/>
      <c r="B652" s="330"/>
      <c r="C652" s="331"/>
      <c r="D652" s="331"/>
      <c r="E652" s="331" t="s">
        <v>410</v>
      </c>
      <c r="F652" s="332"/>
      <c r="G652" s="332"/>
      <c r="H652" s="332"/>
      <c r="I652" s="333">
        <f>SUM(H648:H652)</f>
        <v>132539</v>
      </c>
    </row>
    <row r="653" spans="1:9" hidden="1">
      <c r="A653" s="334"/>
      <c r="B653" s="335"/>
      <c r="C653" s="336"/>
      <c r="D653" s="336"/>
      <c r="E653" s="336"/>
      <c r="F653" s="338"/>
      <c r="G653" s="338"/>
      <c r="H653" s="338"/>
      <c r="I653" s="339"/>
    </row>
    <row r="654" spans="1:9" hidden="1">
      <c r="A654" s="334"/>
      <c r="B654" s="335"/>
      <c r="C654" s="336"/>
      <c r="D654" s="336"/>
      <c r="E654" s="336"/>
      <c r="F654" s="338"/>
      <c r="G654" s="338"/>
      <c r="H654" s="338"/>
      <c r="I654" s="339"/>
    </row>
    <row r="655" spans="1:9" hidden="1">
      <c r="A655" s="329"/>
      <c r="B655" s="330"/>
      <c r="C655" s="331"/>
      <c r="D655" s="331"/>
      <c r="E655" s="331" t="s">
        <v>411</v>
      </c>
      <c r="F655" s="332"/>
      <c r="G655" s="332"/>
      <c r="H655" s="332"/>
      <c r="I655" s="333"/>
    </row>
    <row r="656" spans="1:9" hidden="1">
      <c r="A656" s="329"/>
      <c r="B656" s="330"/>
      <c r="C656" s="331"/>
      <c r="D656" s="331" t="s">
        <v>412</v>
      </c>
      <c r="E656" s="331"/>
      <c r="F656" s="332"/>
      <c r="G656" s="332"/>
      <c r="H656" s="332"/>
      <c r="I656" s="333">
        <f>SUM(I642:I655)</f>
        <v>164864</v>
      </c>
    </row>
    <row r="657" spans="1:9" hidden="1">
      <c r="A657" s="329"/>
      <c r="B657" s="330"/>
      <c r="C657" s="331"/>
      <c r="D657" s="331" t="s">
        <v>413</v>
      </c>
      <c r="E657" s="331"/>
      <c r="F657" s="332"/>
      <c r="G657" s="332"/>
      <c r="H657" s="332"/>
      <c r="I657" s="333">
        <f>I656*0.1</f>
        <v>16486.400000000001</v>
      </c>
    </row>
    <row r="658" spans="1:9" hidden="1">
      <c r="A658" s="385"/>
      <c r="B658" s="361"/>
      <c r="C658" s="362"/>
      <c r="D658" s="363" t="s">
        <v>414</v>
      </c>
      <c r="E658" s="362"/>
      <c r="F658" s="364"/>
      <c r="G658" s="364"/>
      <c r="H658" s="364"/>
      <c r="I658" s="365">
        <f>ROUNDDOWN(I657+I656,0)</f>
        <v>181350</v>
      </c>
    </row>
    <row r="659" spans="1:9" ht="13.5" hidden="1" thickBot="1">
      <c r="A659" s="386"/>
      <c r="B659" s="367"/>
      <c r="C659" s="368"/>
      <c r="D659" s="369"/>
      <c r="E659" s="368"/>
      <c r="F659" s="370"/>
      <c r="G659" s="370"/>
      <c r="H659" s="370"/>
      <c r="I659" s="371"/>
    </row>
    <row r="660" spans="1:9" ht="14.25" hidden="1" thickTop="1" thickBot="1">
      <c r="A660" s="309" t="s">
        <v>0</v>
      </c>
      <c r="B660" s="380" t="s">
        <v>397</v>
      </c>
      <c r="C660" s="310" t="s">
        <v>398</v>
      </c>
      <c r="D660" s="310" t="s">
        <v>1</v>
      </c>
      <c r="E660" s="311"/>
      <c r="F660" s="381" t="s">
        <v>399</v>
      </c>
      <c r="G660" s="381" t="s">
        <v>400</v>
      </c>
      <c r="H660" s="381" t="s">
        <v>401</v>
      </c>
      <c r="I660" s="382" t="s">
        <v>402</v>
      </c>
    </row>
    <row r="661" spans="1:9" ht="13.5" hidden="1" thickTop="1">
      <c r="A661" s="351">
        <v>37</v>
      </c>
      <c r="B661" s="352" t="s">
        <v>492</v>
      </c>
      <c r="C661" s="353"/>
      <c r="D661" s="353"/>
      <c r="E661" s="353"/>
      <c r="F661" s="354"/>
      <c r="G661" s="354"/>
      <c r="H661" s="354"/>
      <c r="I661" s="355"/>
    </row>
    <row r="662" spans="1:9" hidden="1">
      <c r="A662" s="334"/>
      <c r="B662" s="335">
        <v>0.09</v>
      </c>
      <c r="C662" s="336"/>
      <c r="D662" s="336" t="s">
        <v>3</v>
      </c>
      <c r="E662" s="336"/>
      <c r="F662" s="337">
        <f>[2]Hardas!$E$10</f>
        <v>100000</v>
      </c>
      <c r="G662" s="338">
        <f>F662*B662</f>
        <v>9000</v>
      </c>
      <c r="H662" s="338"/>
      <c r="I662" s="339"/>
    </row>
    <row r="663" spans="1:9" hidden="1">
      <c r="A663" s="334"/>
      <c r="B663" s="335">
        <v>0.11</v>
      </c>
      <c r="C663" s="336"/>
      <c r="D663" s="336" t="s">
        <v>4</v>
      </c>
      <c r="E663" s="336"/>
      <c r="F663" s="338">
        <f>[2]Hardas!$E$11</f>
        <v>91000</v>
      </c>
      <c r="G663" s="338">
        <f>F663*B663</f>
        <v>10010</v>
      </c>
      <c r="H663" s="338"/>
      <c r="I663" s="339"/>
    </row>
    <row r="664" spans="1:9" hidden="1">
      <c r="A664" s="334"/>
      <c r="B664" s="335">
        <v>1.8</v>
      </c>
      <c r="C664" s="336"/>
      <c r="D664" s="336" t="s">
        <v>428</v>
      </c>
      <c r="E664" s="336"/>
      <c r="F664" s="338">
        <f>[2]Hardas!$E$14</f>
        <v>82000</v>
      </c>
      <c r="G664" s="338">
        <f>F664*B664</f>
        <v>147600</v>
      </c>
      <c r="H664" s="338"/>
      <c r="I664" s="339"/>
    </row>
    <row r="665" spans="1:9" hidden="1">
      <c r="A665" s="334"/>
      <c r="B665" s="335">
        <v>0.8</v>
      </c>
      <c r="C665" s="336"/>
      <c r="D665" s="336" t="s">
        <v>6</v>
      </c>
      <c r="E665" s="336"/>
      <c r="F665" s="338">
        <f>[2]Hardas!$E$21</f>
        <v>59000</v>
      </c>
      <c r="G665" s="338">
        <f>F665*B665</f>
        <v>47200</v>
      </c>
      <c r="H665" s="338"/>
      <c r="I665" s="339"/>
    </row>
    <row r="666" spans="1:9" hidden="1">
      <c r="A666" s="329"/>
      <c r="B666" s="330"/>
      <c r="C666" s="331"/>
      <c r="D666" s="331"/>
      <c r="E666" s="331" t="s">
        <v>405</v>
      </c>
      <c r="F666" s="332"/>
      <c r="G666" s="332"/>
      <c r="H666" s="332"/>
      <c r="I666" s="333">
        <f>SUM(G662:G666)</f>
        <v>213810</v>
      </c>
    </row>
    <row r="667" spans="1:9" hidden="1">
      <c r="A667" s="334"/>
      <c r="B667" s="335"/>
      <c r="C667" s="336"/>
      <c r="D667" s="336"/>
      <c r="E667" s="336"/>
      <c r="F667" s="338"/>
      <c r="G667" s="338"/>
      <c r="H667" s="338"/>
      <c r="I667" s="339"/>
    </row>
    <row r="668" spans="1:9" hidden="1">
      <c r="A668" s="334"/>
      <c r="B668" s="335">
        <v>2</v>
      </c>
      <c r="C668" s="336" t="s">
        <v>433</v>
      </c>
      <c r="D668" s="336" t="s">
        <v>493</v>
      </c>
      <c r="E668" s="336"/>
      <c r="F668" s="338">
        <f>[2]Hardas!$E$124</f>
        <v>121350</v>
      </c>
      <c r="G668" s="338"/>
      <c r="H668" s="338">
        <f>F668*B668</f>
        <v>242700</v>
      </c>
      <c r="I668" s="339"/>
    </row>
    <row r="669" spans="1:9" hidden="1">
      <c r="A669" s="334"/>
      <c r="B669" s="335">
        <v>16.16</v>
      </c>
      <c r="C669" s="336" t="s">
        <v>7</v>
      </c>
      <c r="D669" s="336" t="s">
        <v>467</v>
      </c>
      <c r="E669" s="336"/>
      <c r="F669" s="338">
        <f>[2]Hardas!$E$40</f>
        <v>1050</v>
      </c>
      <c r="G669" s="338"/>
      <c r="H669" s="338">
        <f>F669*B669</f>
        <v>16968</v>
      </c>
      <c r="I669" s="339"/>
    </row>
    <row r="670" spans="1:9" hidden="1">
      <c r="A670" s="334"/>
      <c r="B670" s="335">
        <v>0.1</v>
      </c>
      <c r="C670" s="336" t="s">
        <v>406</v>
      </c>
      <c r="D670" s="336" t="s">
        <v>432</v>
      </c>
      <c r="E670" s="336"/>
      <c r="F670" s="338">
        <f>[2]Hardas!$E$28</f>
        <v>115000</v>
      </c>
      <c r="G670" s="338"/>
      <c r="H670" s="338">
        <f>F670*B670</f>
        <v>11500</v>
      </c>
      <c r="I670" s="339"/>
    </row>
    <row r="671" spans="1:9" hidden="1">
      <c r="A671" s="329"/>
      <c r="B671" s="330"/>
      <c r="C671" s="331"/>
      <c r="D671" s="331"/>
      <c r="E671" s="331" t="s">
        <v>410</v>
      </c>
      <c r="F671" s="332"/>
      <c r="G671" s="332"/>
      <c r="H671" s="332"/>
      <c r="I671" s="333">
        <f>SUM(H668:H671)</f>
        <v>271168</v>
      </c>
    </row>
    <row r="672" spans="1:9" hidden="1">
      <c r="A672" s="334"/>
      <c r="B672" s="335"/>
      <c r="C672" s="336"/>
      <c r="D672" s="336"/>
      <c r="E672" s="336"/>
      <c r="F672" s="338"/>
      <c r="G672" s="338"/>
      <c r="H672" s="338"/>
      <c r="I672" s="339"/>
    </row>
    <row r="673" spans="1:9" hidden="1">
      <c r="A673" s="334"/>
      <c r="B673" s="335"/>
      <c r="C673" s="336"/>
      <c r="D673" s="336"/>
      <c r="E673" s="336"/>
      <c r="F673" s="338"/>
      <c r="G673" s="338"/>
      <c r="H673" s="338"/>
      <c r="I673" s="339"/>
    </row>
    <row r="674" spans="1:9" hidden="1">
      <c r="A674" s="334"/>
      <c r="B674" s="335"/>
      <c r="C674" s="336"/>
      <c r="D674" s="336"/>
      <c r="E674" s="336"/>
      <c r="F674" s="338"/>
      <c r="G674" s="338"/>
      <c r="H674" s="338"/>
      <c r="I674" s="339"/>
    </row>
    <row r="675" spans="1:9" hidden="1">
      <c r="A675" s="329"/>
      <c r="B675" s="330"/>
      <c r="C675" s="331"/>
      <c r="D675" s="331"/>
      <c r="E675" s="331" t="s">
        <v>411</v>
      </c>
      <c r="F675" s="332"/>
      <c r="G675" s="332"/>
      <c r="H675" s="332"/>
      <c r="I675" s="333"/>
    </row>
    <row r="676" spans="1:9" hidden="1">
      <c r="A676" s="329"/>
      <c r="B676" s="330"/>
      <c r="C676" s="331"/>
      <c r="D676" s="331" t="s">
        <v>412</v>
      </c>
      <c r="E676" s="331"/>
      <c r="F676" s="332"/>
      <c r="G676" s="332"/>
      <c r="H676" s="332"/>
      <c r="I676" s="333">
        <f>SUM(I662:I675)</f>
        <v>484978</v>
      </c>
    </row>
    <row r="677" spans="1:9" hidden="1">
      <c r="A677" s="329"/>
      <c r="B677" s="330"/>
      <c r="C677" s="331"/>
      <c r="D677" s="331" t="s">
        <v>413</v>
      </c>
      <c r="E677" s="331"/>
      <c r="F677" s="332"/>
      <c r="G677" s="332"/>
      <c r="H677" s="332"/>
      <c r="I677" s="333">
        <f>I676*0.1</f>
        <v>48497.8</v>
      </c>
    </row>
    <row r="678" spans="1:9" hidden="1">
      <c r="A678" s="387"/>
      <c r="B678" s="356"/>
      <c r="C678" s="357"/>
      <c r="D678" s="331" t="s">
        <v>414</v>
      </c>
      <c r="E678" s="357"/>
      <c r="F678" s="358"/>
      <c r="G678" s="358"/>
      <c r="H678" s="358"/>
      <c r="I678" s="333">
        <f>ROUNDDOWN(I677+I676,0)</f>
        <v>533475</v>
      </c>
    </row>
    <row r="679" spans="1:9" ht="13.5" hidden="1" thickBot="1">
      <c r="A679" s="341"/>
      <c r="B679" s="342"/>
      <c r="C679" s="343"/>
      <c r="D679" s="343"/>
      <c r="E679" s="343"/>
      <c r="F679" s="344"/>
      <c r="G679" s="344"/>
      <c r="H679" s="344"/>
      <c r="I679" s="345"/>
    </row>
    <row r="680" spans="1:9" ht="14.25" hidden="1" thickTop="1" thickBot="1">
      <c r="A680" s="319" t="s">
        <v>494</v>
      </c>
      <c r="B680" s="320" t="s">
        <v>495</v>
      </c>
      <c r="C680" s="388"/>
      <c r="D680" s="388"/>
      <c r="E680" s="388"/>
      <c r="F680" s="389"/>
      <c r="G680" s="389"/>
      <c r="H680" s="389"/>
      <c r="I680" s="390"/>
    </row>
    <row r="681" spans="1:9" ht="14.25" hidden="1" thickTop="1" thickBot="1">
      <c r="A681" s="309" t="s">
        <v>0</v>
      </c>
      <c r="B681" s="380" t="s">
        <v>397</v>
      </c>
      <c r="C681" s="310" t="s">
        <v>398</v>
      </c>
      <c r="D681" s="310" t="s">
        <v>1</v>
      </c>
      <c r="E681" s="311"/>
      <c r="F681" s="381" t="s">
        <v>399</v>
      </c>
      <c r="G681" s="381" t="s">
        <v>400</v>
      </c>
      <c r="H681" s="381" t="s">
        <v>401</v>
      </c>
      <c r="I681" s="382" t="s">
        <v>402</v>
      </c>
    </row>
    <row r="682" spans="1:9" ht="13.5" hidden="1" thickTop="1">
      <c r="A682" s="351">
        <v>38</v>
      </c>
      <c r="B682" s="352" t="s">
        <v>496</v>
      </c>
      <c r="C682" s="353"/>
      <c r="D682" s="353"/>
      <c r="E682" s="353"/>
      <c r="F682" s="354"/>
      <c r="G682" s="354"/>
      <c r="H682" s="354"/>
      <c r="I682" s="355"/>
    </row>
    <row r="683" spans="1:9" hidden="1">
      <c r="A683" s="334"/>
      <c r="B683" s="335">
        <v>0.16</v>
      </c>
      <c r="C683" s="336"/>
      <c r="D683" s="336" t="s">
        <v>3</v>
      </c>
      <c r="E683" s="336"/>
      <c r="F683" s="337">
        <f>[2]Hardas!$E$10</f>
        <v>100000</v>
      </c>
      <c r="G683" s="338">
        <f>F683*B683</f>
        <v>16000</v>
      </c>
      <c r="H683" s="338"/>
      <c r="I683" s="339"/>
    </row>
    <row r="684" spans="1:9" hidden="1">
      <c r="A684" s="334"/>
      <c r="B684" s="335">
        <v>1E-3</v>
      </c>
      <c r="C684" s="336"/>
      <c r="D684" s="336" t="s">
        <v>4</v>
      </c>
      <c r="E684" s="336"/>
      <c r="F684" s="338">
        <f>[2]Hardas!$E$11</f>
        <v>91000</v>
      </c>
      <c r="G684" s="338">
        <f>F684*B684</f>
        <v>91</v>
      </c>
      <c r="H684" s="338"/>
      <c r="I684" s="339"/>
    </row>
    <row r="685" spans="1:9" hidden="1">
      <c r="A685" s="334"/>
      <c r="B685" s="335">
        <v>1.1000000000000001</v>
      </c>
      <c r="C685" s="336"/>
      <c r="D685" s="336" t="s">
        <v>428</v>
      </c>
      <c r="E685" s="336"/>
      <c r="F685" s="338">
        <f>[2]Hardas!$E$14</f>
        <v>82000</v>
      </c>
      <c r="G685" s="338">
        <f>F685*B685</f>
        <v>90200.000000000015</v>
      </c>
      <c r="H685" s="338"/>
      <c r="I685" s="339"/>
    </row>
    <row r="686" spans="1:9" hidden="1">
      <c r="A686" s="334"/>
      <c r="B686" s="335">
        <v>3.3</v>
      </c>
      <c r="C686" s="336"/>
      <c r="D686" s="336" t="s">
        <v>6</v>
      </c>
      <c r="E686" s="336"/>
      <c r="F686" s="338">
        <f>[2]Hardas!$E$21</f>
        <v>59000</v>
      </c>
      <c r="G686" s="338">
        <f>F686*B686</f>
        <v>194700</v>
      </c>
      <c r="H686" s="338"/>
      <c r="I686" s="339"/>
    </row>
    <row r="687" spans="1:9" hidden="1">
      <c r="A687" s="329"/>
      <c r="B687" s="330"/>
      <c r="C687" s="331"/>
      <c r="D687" s="331"/>
      <c r="E687" s="331" t="s">
        <v>405</v>
      </c>
      <c r="F687" s="332"/>
      <c r="G687" s="332"/>
      <c r="H687" s="332"/>
      <c r="I687" s="333">
        <f>SUM(G683:G687)</f>
        <v>300991</v>
      </c>
    </row>
    <row r="688" spans="1:9" hidden="1">
      <c r="A688" s="334"/>
      <c r="B688" s="335"/>
      <c r="C688" s="336"/>
      <c r="D688" s="336"/>
      <c r="E688" s="336"/>
      <c r="F688" s="338"/>
      <c r="G688" s="338"/>
      <c r="H688" s="338"/>
      <c r="I688" s="339"/>
    </row>
    <row r="689" spans="1:9" hidden="1">
      <c r="A689" s="334"/>
      <c r="B689" s="335">
        <v>1</v>
      </c>
      <c r="C689" s="336" t="s">
        <v>433</v>
      </c>
      <c r="D689" s="336" t="s">
        <v>497</v>
      </c>
      <c r="E689" s="336"/>
      <c r="F689" s="338">
        <f>[2]Hardas!$E$186</f>
        <v>3293940</v>
      </c>
      <c r="G689" s="338"/>
      <c r="H689" s="338">
        <f>F689*B689</f>
        <v>3293940</v>
      </c>
      <c r="I689" s="339"/>
    </row>
    <row r="690" spans="1:9" hidden="1">
      <c r="A690" s="334"/>
      <c r="B690" s="335">
        <v>1</v>
      </c>
      <c r="C690" s="336" t="s">
        <v>446</v>
      </c>
      <c r="D690" s="336" t="s">
        <v>498</v>
      </c>
      <c r="E690" s="336"/>
      <c r="F690" s="338">
        <f>H689*0.2</f>
        <v>658788</v>
      </c>
      <c r="G690" s="338"/>
      <c r="H690" s="338">
        <f>F690*B690</f>
        <v>658788</v>
      </c>
      <c r="I690" s="339"/>
    </row>
    <row r="691" spans="1:9" hidden="1">
      <c r="A691" s="329"/>
      <c r="B691" s="330"/>
      <c r="C691" s="331"/>
      <c r="D691" s="331"/>
      <c r="E691" s="331" t="s">
        <v>410</v>
      </c>
      <c r="F691" s="332"/>
      <c r="G691" s="332"/>
      <c r="H691" s="332"/>
      <c r="I691" s="333">
        <f>SUM(H689:H691)</f>
        <v>3952728</v>
      </c>
    </row>
    <row r="692" spans="1:9" hidden="1">
      <c r="A692" s="334"/>
      <c r="B692" s="335"/>
      <c r="C692" s="336"/>
      <c r="D692" s="336"/>
      <c r="E692" s="336"/>
      <c r="F692" s="338"/>
      <c r="G692" s="338"/>
      <c r="H692" s="338"/>
      <c r="I692" s="339"/>
    </row>
    <row r="693" spans="1:9" hidden="1">
      <c r="A693" s="334"/>
      <c r="B693" s="335"/>
      <c r="C693" s="336"/>
      <c r="D693" s="336"/>
      <c r="E693" s="336"/>
      <c r="F693" s="338"/>
      <c r="G693" s="338"/>
      <c r="H693" s="338"/>
      <c r="I693" s="339"/>
    </row>
    <row r="694" spans="1:9" hidden="1">
      <c r="A694" s="334"/>
      <c r="B694" s="335"/>
      <c r="C694" s="336"/>
      <c r="D694" s="336"/>
      <c r="E694" s="336"/>
      <c r="F694" s="338"/>
      <c r="G694" s="338"/>
      <c r="H694" s="338"/>
      <c r="I694" s="339"/>
    </row>
    <row r="695" spans="1:9" hidden="1">
      <c r="A695" s="329"/>
      <c r="B695" s="330"/>
      <c r="C695" s="331"/>
      <c r="D695" s="331"/>
      <c r="E695" s="331" t="s">
        <v>411</v>
      </c>
      <c r="F695" s="332"/>
      <c r="G695" s="332"/>
      <c r="H695" s="332"/>
      <c r="I695" s="333"/>
    </row>
    <row r="696" spans="1:9" hidden="1">
      <c r="A696" s="329"/>
      <c r="B696" s="330"/>
      <c r="C696" s="331"/>
      <c r="D696" s="331" t="s">
        <v>412</v>
      </c>
      <c r="E696" s="331"/>
      <c r="F696" s="332"/>
      <c r="G696" s="332"/>
      <c r="H696" s="332"/>
      <c r="I696" s="333">
        <f>SUM(I683:I695)</f>
        <v>4253719</v>
      </c>
    </row>
    <row r="697" spans="1:9" hidden="1">
      <c r="A697" s="329"/>
      <c r="B697" s="330"/>
      <c r="C697" s="331"/>
      <c r="D697" s="331" t="s">
        <v>413</v>
      </c>
      <c r="E697" s="331"/>
      <c r="F697" s="332"/>
      <c r="G697" s="332"/>
      <c r="H697" s="332"/>
      <c r="I697" s="333">
        <f>I696*0.1</f>
        <v>425371.9</v>
      </c>
    </row>
    <row r="698" spans="1:9" hidden="1">
      <c r="A698" s="385"/>
      <c r="B698" s="361"/>
      <c r="C698" s="362"/>
      <c r="D698" s="363" t="s">
        <v>414</v>
      </c>
      <c r="E698" s="362"/>
      <c r="F698" s="364"/>
      <c r="G698" s="364"/>
      <c r="H698" s="364"/>
      <c r="I698" s="365">
        <f>ROUNDDOWN(I697+I696,0)</f>
        <v>4679090</v>
      </c>
    </row>
    <row r="699" spans="1:9" ht="13.5" hidden="1" thickBot="1">
      <c r="A699" s="386"/>
      <c r="B699" s="367"/>
      <c r="C699" s="368"/>
      <c r="D699" s="369"/>
      <c r="E699" s="368"/>
      <c r="F699" s="370"/>
      <c r="G699" s="370"/>
      <c r="H699" s="370"/>
      <c r="I699" s="371"/>
    </row>
    <row r="700" spans="1:9" ht="14.25" hidden="1" thickTop="1" thickBot="1">
      <c r="A700" s="309" t="s">
        <v>0</v>
      </c>
      <c r="B700" s="380" t="s">
        <v>397</v>
      </c>
      <c r="C700" s="310" t="s">
        <v>398</v>
      </c>
      <c r="D700" s="310" t="s">
        <v>1</v>
      </c>
      <c r="E700" s="311"/>
      <c r="F700" s="381" t="s">
        <v>399</v>
      </c>
      <c r="G700" s="381" t="s">
        <v>400</v>
      </c>
      <c r="H700" s="381" t="s">
        <v>401</v>
      </c>
      <c r="I700" s="382" t="s">
        <v>402</v>
      </c>
    </row>
    <row r="701" spans="1:9" ht="13.5" hidden="1" thickTop="1">
      <c r="A701" s="351">
        <v>39</v>
      </c>
      <c r="B701" s="352" t="s">
        <v>499</v>
      </c>
      <c r="C701" s="353"/>
      <c r="D701" s="353"/>
      <c r="E701" s="353"/>
      <c r="F701" s="354"/>
      <c r="G701" s="354"/>
      <c r="H701" s="354"/>
      <c r="I701" s="355"/>
    </row>
    <row r="702" spans="1:9" hidden="1">
      <c r="A702" s="334"/>
      <c r="B702" s="335">
        <v>0.16</v>
      </c>
      <c r="C702" s="336"/>
      <c r="D702" s="336" t="s">
        <v>3</v>
      </c>
      <c r="E702" s="336"/>
      <c r="F702" s="337">
        <f>[2]Hardas!$E$10</f>
        <v>100000</v>
      </c>
      <c r="G702" s="338">
        <f>F702*B702</f>
        <v>16000</v>
      </c>
      <c r="H702" s="338"/>
      <c r="I702" s="339"/>
    </row>
    <row r="703" spans="1:9" hidden="1">
      <c r="A703" s="334"/>
      <c r="B703" s="335">
        <v>1E-3</v>
      </c>
      <c r="C703" s="336"/>
      <c r="D703" s="336" t="s">
        <v>4</v>
      </c>
      <c r="E703" s="336"/>
      <c r="F703" s="338">
        <f>[2]Hardas!$E$11</f>
        <v>91000</v>
      </c>
      <c r="G703" s="338">
        <f>F703*B703</f>
        <v>91</v>
      </c>
      <c r="H703" s="338"/>
      <c r="I703" s="339"/>
    </row>
    <row r="704" spans="1:9" hidden="1">
      <c r="A704" s="334"/>
      <c r="B704" s="335">
        <v>1.1000000000000001</v>
      </c>
      <c r="C704" s="336"/>
      <c r="D704" s="336" t="s">
        <v>428</v>
      </c>
      <c r="E704" s="336"/>
      <c r="F704" s="338">
        <f>[2]Hardas!$E$14</f>
        <v>82000</v>
      </c>
      <c r="G704" s="338">
        <f>F704*B704</f>
        <v>90200.000000000015</v>
      </c>
      <c r="H704" s="338"/>
      <c r="I704" s="339"/>
    </row>
    <row r="705" spans="1:9" hidden="1">
      <c r="A705" s="334"/>
      <c r="B705" s="335">
        <v>3.3</v>
      </c>
      <c r="C705" s="336"/>
      <c r="D705" s="336" t="s">
        <v>6</v>
      </c>
      <c r="E705" s="336"/>
      <c r="F705" s="338">
        <f>[2]Hardas!$E$21</f>
        <v>59000</v>
      </c>
      <c r="G705" s="338">
        <f>F705*B705</f>
        <v>194700</v>
      </c>
      <c r="H705" s="338"/>
      <c r="I705" s="339"/>
    </row>
    <row r="706" spans="1:9" hidden="1">
      <c r="A706" s="329"/>
      <c r="B706" s="330"/>
      <c r="C706" s="331"/>
      <c r="D706" s="331"/>
      <c r="E706" s="331" t="s">
        <v>405</v>
      </c>
      <c r="F706" s="332"/>
      <c r="G706" s="332"/>
      <c r="H706" s="332"/>
      <c r="I706" s="333">
        <f>SUM(G702:G706)</f>
        <v>300991</v>
      </c>
    </row>
    <row r="707" spans="1:9" hidden="1">
      <c r="A707" s="334"/>
      <c r="B707" s="335"/>
      <c r="C707" s="336"/>
      <c r="D707" s="336"/>
      <c r="E707" s="336"/>
      <c r="F707" s="338"/>
      <c r="G707" s="338"/>
      <c r="H707" s="338"/>
      <c r="I707" s="339"/>
    </row>
    <row r="708" spans="1:9" hidden="1">
      <c r="A708" s="334"/>
      <c r="B708" s="335">
        <v>1</v>
      </c>
      <c r="C708" s="336" t="s">
        <v>433</v>
      </c>
      <c r="D708" s="336" t="s">
        <v>500</v>
      </c>
      <c r="E708" s="336"/>
      <c r="F708" s="338">
        <f>[2]Hardas!E187</f>
        <v>136300</v>
      </c>
      <c r="G708" s="338"/>
      <c r="H708" s="338">
        <f>F708*B708</f>
        <v>136300</v>
      </c>
      <c r="I708" s="339"/>
    </row>
    <row r="709" spans="1:9" hidden="1">
      <c r="A709" s="334"/>
      <c r="B709" s="335">
        <v>1</v>
      </c>
      <c r="C709" s="336" t="s">
        <v>446</v>
      </c>
      <c r="D709" s="336" t="s">
        <v>498</v>
      </c>
      <c r="E709" s="336"/>
      <c r="F709" s="338">
        <f>H708*0.2</f>
        <v>27260</v>
      </c>
      <c r="G709" s="338"/>
      <c r="H709" s="338">
        <f>F709*B709</f>
        <v>27260</v>
      </c>
      <c r="I709" s="339"/>
    </row>
    <row r="710" spans="1:9" hidden="1">
      <c r="A710" s="329"/>
      <c r="B710" s="330"/>
      <c r="C710" s="331"/>
      <c r="D710" s="331"/>
      <c r="E710" s="331" t="s">
        <v>410</v>
      </c>
      <c r="F710" s="332"/>
      <c r="G710" s="332"/>
      <c r="H710" s="332"/>
      <c r="I710" s="333">
        <f>SUM(H708:H710)</f>
        <v>163560</v>
      </c>
    </row>
    <row r="711" spans="1:9" hidden="1">
      <c r="A711" s="334"/>
      <c r="B711" s="335"/>
      <c r="C711" s="336"/>
      <c r="D711" s="336"/>
      <c r="E711" s="336"/>
      <c r="F711" s="338"/>
      <c r="G711" s="338"/>
      <c r="H711" s="338"/>
      <c r="I711" s="339"/>
    </row>
    <row r="712" spans="1:9" hidden="1">
      <c r="A712" s="334"/>
      <c r="B712" s="335"/>
      <c r="C712" s="336"/>
      <c r="D712" s="336"/>
      <c r="E712" s="336"/>
      <c r="F712" s="338"/>
      <c r="G712" s="338"/>
      <c r="H712" s="338"/>
      <c r="I712" s="339"/>
    </row>
    <row r="713" spans="1:9" hidden="1">
      <c r="A713" s="334"/>
      <c r="B713" s="335"/>
      <c r="C713" s="336"/>
      <c r="D713" s="336"/>
      <c r="E713" s="336"/>
      <c r="F713" s="338"/>
      <c r="G713" s="338"/>
      <c r="H713" s="338"/>
      <c r="I713" s="339"/>
    </row>
    <row r="714" spans="1:9" hidden="1">
      <c r="A714" s="329"/>
      <c r="B714" s="330"/>
      <c r="C714" s="331"/>
      <c r="D714" s="331"/>
      <c r="E714" s="331" t="s">
        <v>411</v>
      </c>
      <c r="F714" s="332"/>
      <c r="G714" s="332"/>
      <c r="H714" s="332"/>
      <c r="I714" s="333"/>
    </row>
    <row r="715" spans="1:9" hidden="1">
      <c r="A715" s="329"/>
      <c r="B715" s="330"/>
      <c r="C715" s="331"/>
      <c r="D715" s="331" t="s">
        <v>412</v>
      </c>
      <c r="E715" s="331"/>
      <c r="F715" s="332"/>
      <c r="G715" s="332"/>
      <c r="H715" s="332"/>
      <c r="I715" s="333">
        <f>SUM(I702:I714)</f>
        <v>464551</v>
      </c>
    </row>
    <row r="716" spans="1:9" hidden="1">
      <c r="A716" s="329"/>
      <c r="B716" s="330"/>
      <c r="C716" s="331"/>
      <c r="D716" s="331" t="s">
        <v>413</v>
      </c>
      <c r="E716" s="331"/>
      <c r="F716" s="332"/>
      <c r="G716" s="332"/>
      <c r="H716" s="332"/>
      <c r="I716" s="333">
        <f>I715*0.1</f>
        <v>46455.100000000006</v>
      </c>
    </row>
    <row r="717" spans="1:9" hidden="1">
      <c r="A717" s="385"/>
      <c r="B717" s="361"/>
      <c r="C717" s="362"/>
      <c r="D717" s="363" t="s">
        <v>414</v>
      </c>
      <c r="E717" s="362"/>
      <c r="F717" s="364"/>
      <c r="G717" s="364"/>
      <c r="H717" s="364"/>
      <c r="I717" s="365">
        <f>ROUNDDOWN(I716+I715,0)</f>
        <v>511006</v>
      </c>
    </row>
    <row r="718" spans="1:9" ht="13.5" hidden="1" thickBot="1">
      <c r="A718" s="386"/>
      <c r="B718" s="367"/>
      <c r="C718" s="368"/>
      <c r="D718" s="369"/>
      <c r="E718" s="368"/>
      <c r="F718" s="370"/>
      <c r="G718" s="370"/>
      <c r="H718" s="370"/>
      <c r="I718" s="371"/>
    </row>
    <row r="719" spans="1:9" ht="14.25" hidden="1" thickTop="1" thickBot="1">
      <c r="A719" s="309" t="s">
        <v>0</v>
      </c>
      <c r="B719" s="380" t="s">
        <v>397</v>
      </c>
      <c r="C719" s="310" t="s">
        <v>398</v>
      </c>
      <c r="D719" s="310" t="s">
        <v>1</v>
      </c>
      <c r="E719" s="311"/>
      <c r="F719" s="381" t="s">
        <v>399</v>
      </c>
      <c r="G719" s="381" t="s">
        <v>400</v>
      </c>
      <c r="H719" s="381" t="s">
        <v>401</v>
      </c>
      <c r="I719" s="382" t="s">
        <v>402</v>
      </c>
    </row>
    <row r="720" spans="1:9" ht="13.5" hidden="1" thickTop="1">
      <c r="A720" s="351">
        <v>40</v>
      </c>
      <c r="B720" s="352" t="s">
        <v>501</v>
      </c>
      <c r="C720" s="353"/>
      <c r="D720" s="353"/>
      <c r="E720" s="353"/>
      <c r="F720" s="354"/>
      <c r="G720" s="354"/>
      <c r="H720" s="354"/>
      <c r="I720" s="355"/>
    </row>
    <row r="721" spans="1:9" hidden="1">
      <c r="A721" s="334"/>
      <c r="B721" s="335">
        <v>0.1</v>
      </c>
      <c r="C721" s="336"/>
      <c r="D721" s="336" t="s">
        <v>3</v>
      </c>
      <c r="E721" s="336"/>
      <c r="F721" s="337">
        <f>[2]Hardas!$E$10</f>
        <v>100000</v>
      </c>
      <c r="G721" s="338">
        <f>F721*B721</f>
        <v>10000</v>
      </c>
      <c r="H721" s="338"/>
      <c r="I721" s="339"/>
    </row>
    <row r="722" spans="1:9" hidden="1">
      <c r="A722" s="334"/>
      <c r="B722" s="335">
        <v>0.1</v>
      </c>
      <c r="C722" s="336"/>
      <c r="D722" s="336" t="s">
        <v>4</v>
      </c>
      <c r="E722" s="336"/>
      <c r="F722" s="338">
        <f>[2]Hardas!$E$11</f>
        <v>91000</v>
      </c>
      <c r="G722" s="338">
        <f>F722*B722</f>
        <v>9100</v>
      </c>
      <c r="H722" s="338"/>
      <c r="I722" s="339"/>
    </row>
    <row r="723" spans="1:9" hidden="1">
      <c r="A723" s="334"/>
      <c r="B723" s="335">
        <v>1</v>
      </c>
      <c r="C723" s="336"/>
      <c r="D723" s="336" t="s">
        <v>428</v>
      </c>
      <c r="E723" s="336"/>
      <c r="F723" s="338">
        <f>[2]Hardas!$E$14</f>
        <v>82000</v>
      </c>
      <c r="G723" s="338">
        <f>F723*B723</f>
        <v>82000</v>
      </c>
      <c r="H723" s="338"/>
      <c r="I723" s="339"/>
    </row>
    <row r="724" spans="1:9" hidden="1">
      <c r="A724" s="334"/>
      <c r="B724" s="335">
        <v>1</v>
      </c>
      <c r="C724" s="336"/>
      <c r="D724" s="336" t="s">
        <v>6</v>
      </c>
      <c r="E724" s="336"/>
      <c r="F724" s="338">
        <f>[2]Hardas!$E$21</f>
        <v>59000</v>
      </c>
      <c r="G724" s="338">
        <f>F724*B724</f>
        <v>59000</v>
      </c>
      <c r="H724" s="338"/>
      <c r="I724" s="339"/>
    </row>
    <row r="725" spans="1:9" hidden="1">
      <c r="A725" s="329"/>
      <c r="B725" s="330"/>
      <c r="C725" s="331"/>
      <c r="D725" s="331"/>
      <c r="E725" s="331" t="s">
        <v>405</v>
      </c>
      <c r="F725" s="332"/>
      <c r="G725" s="332"/>
      <c r="H725" s="332"/>
      <c r="I725" s="333">
        <f>SUM(G721:G725)</f>
        <v>160100</v>
      </c>
    </row>
    <row r="726" spans="1:9" hidden="1">
      <c r="A726" s="334"/>
      <c r="B726" s="335">
        <v>1</v>
      </c>
      <c r="C726" s="336" t="s">
        <v>433</v>
      </c>
      <c r="D726" s="336" t="s">
        <v>502</v>
      </c>
      <c r="E726" s="336"/>
      <c r="F726" s="338">
        <f>[2]Hardas!$E$189</f>
        <v>1626890</v>
      </c>
      <c r="G726" s="338"/>
      <c r="H726" s="338">
        <f>F726*B726</f>
        <v>1626890</v>
      </c>
      <c r="I726" s="339"/>
    </row>
    <row r="727" spans="1:9" hidden="1">
      <c r="A727" s="334"/>
      <c r="B727" s="335">
        <v>6</v>
      </c>
      <c r="C727" s="336" t="s">
        <v>7</v>
      </c>
      <c r="D727" s="336" t="s">
        <v>467</v>
      </c>
      <c r="E727" s="336"/>
      <c r="F727" s="338">
        <f>[2]Hardas!$E$40</f>
        <v>1050</v>
      </c>
      <c r="G727" s="338"/>
      <c r="H727" s="338">
        <f>F727*B727</f>
        <v>6300</v>
      </c>
      <c r="I727" s="339"/>
    </row>
    <row r="728" spans="1:9" hidden="1">
      <c r="A728" s="334"/>
      <c r="B728" s="335">
        <v>0.01</v>
      </c>
      <c r="C728" s="336" t="s">
        <v>406</v>
      </c>
      <c r="D728" s="336" t="s">
        <v>432</v>
      </c>
      <c r="E728" s="336"/>
      <c r="F728" s="338">
        <f>[2]Hardas!$E$28</f>
        <v>115000</v>
      </c>
      <c r="G728" s="338"/>
      <c r="H728" s="338">
        <f>F728*B728</f>
        <v>1150</v>
      </c>
      <c r="I728" s="339"/>
    </row>
    <row r="729" spans="1:9" hidden="1">
      <c r="A729" s="329"/>
      <c r="B729" s="330"/>
      <c r="C729" s="331"/>
      <c r="D729" s="331"/>
      <c r="E729" s="331" t="s">
        <v>410</v>
      </c>
      <c r="F729" s="332"/>
      <c r="G729" s="332"/>
      <c r="H729" s="332"/>
      <c r="I729" s="333">
        <f>SUM(H726:H729)</f>
        <v>1634340</v>
      </c>
    </row>
    <row r="730" spans="1:9" hidden="1">
      <c r="A730" s="334"/>
      <c r="B730" s="335"/>
      <c r="C730" s="336"/>
      <c r="D730" s="336"/>
      <c r="E730" s="336"/>
      <c r="F730" s="338"/>
      <c r="G730" s="338"/>
      <c r="H730" s="338"/>
      <c r="I730" s="339"/>
    </row>
    <row r="731" spans="1:9" hidden="1">
      <c r="A731" s="334"/>
      <c r="B731" s="335"/>
      <c r="C731" s="336"/>
      <c r="D731" s="336"/>
      <c r="E731" s="336"/>
      <c r="F731" s="338"/>
      <c r="G731" s="338"/>
      <c r="H731" s="338"/>
      <c r="I731" s="339"/>
    </row>
    <row r="732" spans="1:9" hidden="1">
      <c r="A732" s="329"/>
      <c r="B732" s="330"/>
      <c r="C732" s="331"/>
      <c r="D732" s="331"/>
      <c r="E732" s="331" t="s">
        <v>411</v>
      </c>
      <c r="F732" s="332"/>
      <c r="G732" s="332"/>
      <c r="H732" s="332"/>
      <c r="I732" s="333"/>
    </row>
    <row r="733" spans="1:9" hidden="1">
      <c r="A733" s="329"/>
      <c r="B733" s="330"/>
      <c r="C733" s="331"/>
      <c r="D733" s="331" t="s">
        <v>412</v>
      </c>
      <c r="E733" s="331"/>
      <c r="F733" s="332"/>
      <c r="G733" s="332"/>
      <c r="H733" s="332"/>
      <c r="I733" s="333">
        <f>SUM(I721:I732)</f>
        <v>1794440</v>
      </c>
    </row>
    <row r="734" spans="1:9" hidden="1">
      <c r="A734" s="329"/>
      <c r="B734" s="330"/>
      <c r="C734" s="331"/>
      <c r="D734" s="331" t="s">
        <v>413</v>
      </c>
      <c r="E734" s="331"/>
      <c r="F734" s="332"/>
      <c r="G734" s="332"/>
      <c r="H734" s="332"/>
      <c r="I734" s="333">
        <f>I733*0.1</f>
        <v>179444</v>
      </c>
    </row>
    <row r="735" spans="1:9" hidden="1">
      <c r="A735" s="385"/>
      <c r="B735" s="361"/>
      <c r="C735" s="362"/>
      <c r="D735" s="363" t="s">
        <v>414</v>
      </c>
      <c r="E735" s="362"/>
      <c r="F735" s="364"/>
      <c r="G735" s="364"/>
      <c r="H735" s="364"/>
      <c r="I735" s="365">
        <f>ROUNDDOWN(I734+I733,0)</f>
        <v>1973884</v>
      </c>
    </row>
    <row r="736" spans="1:9" ht="13.5" hidden="1" thickBot="1">
      <c r="A736" s="386"/>
      <c r="B736" s="367"/>
      <c r="C736" s="368"/>
      <c r="D736" s="369"/>
      <c r="E736" s="368"/>
      <c r="F736" s="370"/>
      <c r="G736" s="370"/>
      <c r="H736" s="370"/>
      <c r="I736" s="371"/>
    </row>
    <row r="737" spans="1:9" ht="14.25" hidden="1" thickTop="1" thickBot="1">
      <c r="A737" s="309" t="s">
        <v>0</v>
      </c>
      <c r="B737" s="380" t="s">
        <v>397</v>
      </c>
      <c r="C737" s="310" t="s">
        <v>398</v>
      </c>
      <c r="D737" s="310" t="s">
        <v>1</v>
      </c>
      <c r="E737" s="311"/>
      <c r="F737" s="381" t="s">
        <v>399</v>
      </c>
      <c r="G737" s="381" t="s">
        <v>400</v>
      </c>
      <c r="H737" s="381" t="s">
        <v>401</v>
      </c>
      <c r="I737" s="382" t="s">
        <v>402</v>
      </c>
    </row>
    <row r="738" spans="1:9" ht="13.5" hidden="1" thickTop="1">
      <c r="A738" s="351">
        <v>41</v>
      </c>
      <c r="B738" s="352" t="s">
        <v>503</v>
      </c>
      <c r="C738" s="353"/>
      <c r="D738" s="353"/>
      <c r="E738" s="353"/>
      <c r="F738" s="354"/>
      <c r="G738" s="354"/>
      <c r="H738" s="354"/>
      <c r="I738" s="355"/>
    </row>
    <row r="739" spans="1:9" hidden="1">
      <c r="A739" s="334"/>
      <c r="B739" s="335">
        <v>0.1</v>
      </c>
      <c r="C739" s="336"/>
      <c r="D739" s="336" t="s">
        <v>3</v>
      </c>
      <c r="E739" s="336"/>
      <c r="F739" s="337">
        <f>[2]Hardas!$E$10</f>
        <v>100000</v>
      </c>
      <c r="G739" s="338">
        <f>F739*B739</f>
        <v>10000</v>
      </c>
      <c r="H739" s="338"/>
      <c r="I739" s="339"/>
    </row>
    <row r="740" spans="1:9" hidden="1">
      <c r="A740" s="334"/>
      <c r="B740" s="335">
        <v>0.15</v>
      </c>
      <c r="C740" s="336"/>
      <c r="D740" s="336" t="s">
        <v>4</v>
      </c>
      <c r="E740" s="336"/>
      <c r="F740" s="338">
        <f>[2]Hardas!$E$11</f>
        <v>91000</v>
      </c>
      <c r="G740" s="338">
        <f>F740*B740</f>
        <v>13650</v>
      </c>
      <c r="H740" s="338"/>
      <c r="I740" s="339"/>
    </row>
    <row r="741" spans="1:9" hidden="1">
      <c r="A741" s="334"/>
      <c r="B741" s="335">
        <v>1.45</v>
      </c>
      <c r="C741" s="336"/>
      <c r="D741" s="336" t="s">
        <v>428</v>
      </c>
      <c r="E741" s="336"/>
      <c r="F741" s="338">
        <f>[2]Hardas!$E$14</f>
        <v>82000</v>
      </c>
      <c r="G741" s="338">
        <f>F741*B741</f>
        <v>118900</v>
      </c>
      <c r="H741" s="338"/>
      <c r="I741" s="339"/>
    </row>
    <row r="742" spans="1:9" hidden="1">
      <c r="A742" s="334"/>
      <c r="B742" s="335">
        <v>1.2</v>
      </c>
      <c r="C742" s="336"/>
      <c r="D742" s="336" t="s">
        <v>6</v>
      </c>
      <c r="E742" s="336"/>
      <c r="F742" s="338">
        <f>[2]Hardas!$E$21</f>
        <v>59000</v>
      </c>
      <c r="G742" s="338">
        <f>F742*B742</f>
        <v>70800</v>
      </c>
      <c r="H742" s="338"/>
      <c r="I742" s="339"/>
    </row>
    <row r="743" spans="1:9" hidden="1">
      <c r="A743" s="329"/>
      <c r="B743" s="330"/>
      <c r="C743" s="331"/>
      <c r="D743" s="331"/>
      <c r="E743" s="331" t="s">
        <v>405</v>
      </c>
      <c r="F743" s="332"/>
      <c r="G743" s="332"/>
      <c r="H743" s="332"/>
      <c r="I743" s="333">
        <f>SUM(G739:G743)</f>
        <v>213350</v>
      </c>
    </row>
    <row r="744" spans="1:9" hidden="1">
      <c r="A744" s="334"/>
      <c r="B744" s="335"/>
      <c r="C744" s="336"/>
      <c r="D744" s="336"/>
      <c r="E744" s="336"/>
      <c r="F744" s="338"/>
      <c r="G744" s="338"/>
      <c r="H744" s="338"/>
      <c r="I744" s="339"/>
    </row>
    <row r="745" spans="1:9" hidden="1">
      <c r="A745" s="334"/>
      <c r="B745" s="335">
        <v>1</v>
      </c>
      <c r="C745" s="336" t="s">
        <v>433</v>
      </c>
      <c r="D745" s="336" t="s">
        <v>504</v>
      </c>
      <c r="E745" s="336"/>
      <c r="F745" s="338">
        <f>[2]Hardas!$E$190</f>
        <v>2114950</v>
      </c>
      <c r="G745" s="338"/>
      <c r="H745" s="338">
        <f>F745*B745</f>
        <v>2114950</v>
      </c>
      <c r="I745" s="339"/>
    </row>
    <row r="746" spans="1:9" hidden="1">
      <c r="A746" s="334"/>
      <c r="B746" s="335">
        <v>6</v>
      </c>
      <c r="C746" s="336" t="s">
        <v>7</v>
      </c>
      <c r="D746" s="336" t="s">
        <v>505</v>
      </c>
      <c r="E746" s="336"/>
      <c r="F746" s="338">
        <f>[2]Hardas!$E$40</f>
        <v>1050</v>
      </c>
      <c r="G746" s="338"/>
      <c r="H746" s="338">
        <f>F746*B746</f>
        <v>6300</v>
      </c>
      <c r="I746" s="339"/>
    </row>
    <row r="747" spans="1:9" hidden="1">
      <c r="A747" s="334"/>
      <c r="B747" s="335">
        <v>0.01</v>
      </c>
      <c r="C747" s="336" t="s">
        <v>406</v>
      </c>
      <c r="D747" s="336" t="s">
        <v>432</v>
      </c>
      <c r="E747" s="336"/>
      <c r="F747" s="338">
        <f>[2]Hardas!$E$28</f>
        <v>115000</v>
      </c>
      <c r="G747" s="338"/>
      <c r="H747" s="338">
        <f>F747*B747</f>
        <v>1150</v>
      </c>
      <c r="I747" s="339"/>
    </row>
    <row r="748" spans="1:9" hidden="1">
      <c r="A748" s="329"/>
      <c r="B748" s="330"/>
      <c r="C748" s="331"/>
      <c r="D748" s="331"/>
      <c r="E748" s="331" t="s">
        <v>410</v>
      </c>
      <c r="F748" s="332"/>
      <c r="G748" s="332"/>
      <c r="H748" s="332"/>
      <c r="I748" s="333">
        <f>SUM(H745:H748)</f>
        <v>2122400</v>
      </c>
    </row>
    <row r="749" spans="1:9" hidden="1">
      <c r="A749" s="334"/>
      <c r="B749" s="335"/>
      <c r="C749" s="336"/>
      <c r="D749" s="336"/>
      <c r="E749" s="336"/>
      <c r="F749" s="338"/>
      <c r="G749" s="338"/>
      <c r="H749" s="338"/>
      <c r="I749" s="339"/>
    </row>
    <row r="750" spans="1:9" hidden="1">
      <c r="A750" s="334"/>
      <c r="B750" s="335"/>
      <c r="C750" s="336"/>
      <c r="D750" s="336"/>
      <c r="E750" s="336"/>
      <c r="F750" s="338"/>
      <c r="G750" s="338"/>
      <c r="H750" s="338"/>
      <c r="I750" s="339"/>
    </row>
    <row r="751" spans="1:9" hidden="1">
      <c r="A751" s="334"/>
      <c r="B751" s="335"/>
      <c r="C751" s="336"/>
      <c r="D751" s="336"/>
      <c r="E751" s="336"/>
      <c r="F751" s="338"/>
      <c r="G751" s="338"/>
      <c r="H751" s="338"/>
      <c r="I751" s="339"/>
    </row>
    <row r="752" spans="1:9" hidden="1">
      <c r="A752" s="329"/>
      <c r="B752" s="330"/>
      <c r="C752" s="331"/>
      <c r="D752" s="331"/>
      <c r="E752" s="331" t="s">
        <v>411</v>
      </c>
      <c r="F752" s="332"/>
      <c r="G752" s="332"/>
      <c r="H752" s="332"/>
      <c r="I752" s="333"/>
    </row>
    <row r="753" spans="1:9" hidden="1">
      <c r="A753" s="329"/>
      <c r="B753" s="330"/>
      <c r="C753" s="331"/>
      <c r="D753" s="331" t="s">
        <v>412</v>
      </c>
      <c r="E753" s="331"/>
      <c r="F753" s="332"/>
      <c r="G753" s="332"/>
      <c r="H753" s="332"/>
      <c r="I753" s="333">
        <f>SUM(I739:I752)</f>
        <v>2335750</v>
      </c>
    </row>
    <row r="754" spans="1:9" hidden="1">
      <c r="A754" s="329"/>
      <c r="B754" s="330"/>
      <c r="C754" s="331"/>
      <c r="D754" s="331" t="s">
        <v>413</v>
      </c>
      <c r="E754" s="331"/>
      <c r="F754" s="332"/>
      <c r="G754" s="332"/>
      <c r="H754" s="332"/>
      <c r="I754" s="333">
        <f>I753*0.1</f>
        <v>233575</v>
      </c>
    </row>
    <row r="755" spans="1:9" hidden="1">
      <c r="A755" s="385"/>
      <c r="B755" s="361"/>
      <c r="C755" s="362"/>
      <c r="D755" s="363" t="s">
        <v>414</v>
      </c>
      <c r="E755" s="362"/>
      <c r="F755" s="364"/>
      <c r="G755" s="364"/>
      <c r="H755" s="364"/>
      <c r="I755" s="365">
        <f>ROUNDDOWN(I754+I753,0)</f>
        <v>2569325</v>
      </c>
    </row>
    <row r="756" spans="1:9" ht="13.5" hidden="1" thickBot="1">
      <c r="A756" s="386"/>
      <c r="B756" s="367"/>
      <c r="C756" s="368"/>
      <c r="D756" s="369"/>
      <c r="E756" s="368"/>
      <c r="F756" s="370"/>
      <c r="G756" s="370"/>
      <c r="H756" s="370"/>
      <c r="I756" s="371"/>
    </row>
    <row r="757" spans="1:9" ht="14.25" hidden="1" thickTop="1" thickBot="1">
      <c r="A757" s="309" t="s">
        <v>0</v>
      </c>
      <c r="B757" s="380" t="s">
        <v>397</v>
      </c>
      <c r="C757" s="310" t="s">
        <v>398</v>
      </c>
      <c r="D757" s="310" t="s">
        <v>1</v>
      </c>
      <c r="E757" s="311"/>
      <c r="F757" s="381" t="s">
        <v>399</v>
      </c>
      <c r="G757" s="381" t="s">
        <v>400</v>
      </c>
      <c r="H757" s="381" t="s">
        <v>401</v>
      </c>
      <c r="I757" s="382" t="s">
        <v>402</v>
      </c>
    </row>
    <row r="758" spans="1:9" ht="13.5" hidden="1" thickTop="1">
      <c r="A758" s="351">
        <v>42</v>
      </c>
      <c r="B758" s="352" t="s">
        <v>506</v>
      </c>
      <c r="C758" s="353"/>
      <c r="D758" s="353"/>
      <c r="E758" s="353"/>
      <c r="F758" s="354"/>
      <c r="G758" s="354"/>
      <c r="H758" s="354"/>
      <c r="I758" s="355"/>
    </row>
    <row r="759" spans="1:9" hidden="1">
      <c r="A759" s="334"/>
      <c r="B759" s="335">
        <v>5.0000000000000001E-3</v>
      </c>
      <c r="C759" s="336"/>
      <c r="D759" s="336" t="s">
        <v>3</v>
      </c>
      <c r="E759" s="336"/>
      <c r="F759" s="337">
        <f>[2]Hardas!$E$10</f>
        <v>100000</v>
      </c>
      <c r="G759" s="338">
        <f>F759*B759</f>
        <v>500</v>
      </c>
      <c r="H759" s="338"/>
      <c r="I759" s="339"/>
    </row>
    <row r="760" spans="1:9" hidden="1">
      <c r="A760" s="334"/>
      <c r="B760" s="335">
        <v>0.01</v>
      </c>
      <c r="C760" s="336"/>
      <c r="D760" s="336" t="s">
        <v>4</v>
      </c>
      <c r="E760" s="336"/>
      <c r="F760" s="338">
        <f>[2]Hardas!$E$11</f>
        <v>91000</v>
      </c>
      <c r="G760" s="338">
        <f>F760*B760</f>
        <v>910</v>
      </c>
      <c r="H760" s="338"/>
      <c r="I760" s="339"/>
    </row>
    <row r="761" spans="1:9" hidden="1">
      <c r="A761" s="334"/>
      <c r="B761" s="335">
        <v>0.1</v>
      </c>
      <c r="C761" s="336"/>
      <c r="D761" s="336" t="s">
        <v>428</v>
      </c>
      <c r="E761" s="336"/>
      <c r="F761" s="338">
        <f>[2]Hardas!$E$14</f>
        <v>82000</v>
      </c>
      <c r="G761" s="338">
        <f>F761*B761</f>
        <v>8200</v>
      </c>
      <c r="H761" s="338"/>
      <c r="I761" s="339"/>
    </row>
    <row r="762" spans="1:9" hidden="1">
      <c r="A762" s="334"/>
      <c r="B762" s="335">
        <v>0.01</v>
      </c>
      <c r="C762" s="336"/>
      <c r="D762" s="336" t="s">
        <v>6</v>
      </c>
      <c r="E762" s="336"/>
      <c r="F762" s="338">
        <f>[2]Hardas!$E$21</f>
        <v>59000</v>
      </c>
      <c r="G762" s="338">
        <f>F762*B762</f>
        <v>590</v>
      </c>
      <c r="H762" s="338"/>
      <c r="I762" s="339"/>
    </row>
    <row r="763" spans="1:9" hidden="1">
      <c r="A763" s="329"/>
      <c r="B763" s="330"/>
      <c r="C763" s="331"/>
      <c r="D763" s="331"/>
      <c r="E763" s="331" t="s">
        <v>405</v>
      </c>
      <c r="F763" s="332"/>
      <c r="G763" s="332"/>
      <c r="H763" s="332"/>
      <c r="I763" s="333">
        <f>SUM(G759:G763)</f>
        <v>10200</v>
      </c>
    </row>
    <row r="764" spans="1:9" hidden="1">
      <c r="A764" s="334"/>
      <c r="B764" s="335"/>
      <c r="C764" s="336"/>
      <c r="D764" s="336"/>
      <c r="E764" s="336"/>
      <c r="F764" s="338"/>
      <c r="G764" s="338"/>
      <c r="H764" s="338"/>
      <c r="I764" s="339"/>
    </row>
    <row r="765" spans="1:9" hidden="1">
      <c r="A765" s="334"/>
      <c r="B765" s="335">
        <v>1</v>
      </c>
      <c r="C765" s="336" t="s">
        <v>433</v>
      </c>
      <c r="D765" s="336" t="s">
        <v>507</v>
      </c>
      <c r="E765" s="336"/>
      <c r="F765" s="338">
        <f>[2]Hardas!$E$209</f>
        <v>157330</v>
      </c>
      <c r="G765" s="338"/>
      <c r="H765" s="338">
        <f>F765*B765</f>
        <v>157330</v>
      </c>
      <c r="I765" s="339"/>
    </row>
    <row r="766" spans="1:9" hidden="1">
      <c r="A766" s="334"/>
      <c r="B766" s="335">
        <v>2.5999999999999999E-2</v>
      </c>
      <c r="C766" s="336" t="s">
        <v>433</v>
      </c>
      <c r="D766" s="336" t="s">
        <v>28</v>
      </c>
      <c r="E766" s="336"/>
      <c r="F766" s="338">
        <f>[2]Hardas!$E$211</f>
        <v>2500</v>
      </c>
      <c r="G766" s="338"/>
      <c r="H766" s="338">
        <f>F766*B766</f>
        <v>65</v>
      </c>
      <c r="I766" s="339"/>
    </row>
    <row r="767" spans="1:9" hidden="1">
      <c r="A767" s="329"/>
      <c r="B767" s="330"/>
      <c r="C767" s="331"/>
      <c r="D767" s="331"/>
      <c r="E767" s="331" t="s">
        <v>410</v>
      </c>
      <c r="F767" s="332"/>
      <c r="G767" s="332"/>
      <c r="H767" s="332"/>
      <c r="I767" s="333">
        <f>SUM(H765:H767)</f>
        <v>157395</v>
      </c>
    </row>
    <row r="768" spans="1:9" hidden="1">
      <c r="A768" s="334"/>
      <c r="B768" s="335"/>
      <c r="C768" s="336"/>
      <c r="D768" s="336"/>
      <c r="E768" s="336"/>
      <c r="F768" s="338"/>
      <c r="G768" s="338"/>
      <c r="H768" s="338"/>
      <c r="I768" s="339"/>
    </row>
    <row r="769" spans="1:9" hidden="1">
      <c r="A769" s="334"/>
      <c r="B769" s="335"/>
      <c r="C769" s="336"/>
      <c r="D769" s="336"/>
      <c r="E769" s="336"/>
      <c r="F769" s="338"/>
      <c r="G769" s="338"/>
      <c r="H769" s="338"/>
      <c r="I769" s="339"/>
    </row>
    <row r="770" spans="1:9" hidden="1">
      <c r="A770" s="334"/>
      <c r="B770" s="335"/>
      <c r="C770" s="336"/>
      <c r="D770" s="336"/>
      <c r="E770" s="336"/>
      <c r="F770" s="338"/>
      <c r="G770" s="338"/>
      <c r="H770" s="338"/>
      <c r="I770" s="339"/>
    </row>
    <row r="771" spans="1:9" hidden="1">
      <c r="A771" s="329"/>
      <c r="B771" s="330"/>
      <c r="C771" s="331"/>
      <c r="D771" s="331"/>
      <c r="E771" s="331" t="s">
        <v>411</v>
      </c>
      <c r="F771" s="332"/>
      <c r="G771" s="332"/>
      <c r="H771" s="332"/>
      <c r="I771" s="333"/>
    </row>
    <row r="772" spans="1:9" hidden="1">
      <c r="A772" s="329"/>
      <c r="B772" s="330"/>
      <c r="C772" s="331"/>
      <c r="D772" s="331" t="s">
        <v>412</v>
      </c>
      <c r="E772" s="331"/>
      <c r="F772" s="332"/>
      <c r="G772" s="332"/>
      <c r="H772" s="332"/>
      <c r="I772" s="333">
        <f>SUM(I759:I771)</f>
        <v>167595</v>
      </c>
    </row>
    <row r="773" spans="1:9" hidden="1">
      <c r="A773" s="329"/>
      <c r="B773" s="330"/>
      <c r="C773" s="331"/>
      <c r="D773" s="331" t="s">
        <v>413</v>
      </c>
      <c r="E773" s="331"/>
      <c r="F773" s="332"/>
      <c r="G773" s="332"/>
      <c r="H773" s="332"/>
      <c r="I773" s="333">
        <f>I772*0.1</f>
        <v>16759.5</v>
      </c>
    </row>
    <row r="774" spans="1:9" hidden="1">
      <c r="A774" s="387"/>
      <c r="B774" s="356"/>
      <c r="C774" s="357"/>
      <c r="D774" s="331" t="s">
        <v>414</v>
      </c>
      <c r="E774" s="357"/>
      <c r="F774" s="358"/>
      <c r="G774" s="358"/>
      <c r="H774" s="358"/>
      <c r="I774" s="333">
        <f>ROUNDDOWN(I773+I772,0)</f>
        <v>184354</v>
      </c>
    </row>
    <row r="775" spans="1:9" ht="13.5" hidden="1" thickBot="1">
      <c r="A775" s="341"/>
      <c r="B775" s="342"/>
      <c r="C775" s="343"/>
      <c r="D775" s="343"/>
      <c r="E775" s="343"/>
      <c r="F775" s="344"/>
      <c r="G775" s="344"/>
      <c r="H775" s="344"/>
      <c r="I775" s="345"/>
    </row>
    <row r="776" spans="1:9" ht="14.25" hidden="1" thickTop="1" thickBot="1">
      <c r="A776" s="309" t="s">
        <v>0</v>
      </c>
      <c r="B776" s="380" t="s">
        <v>397</v>
      </c>
      <c r="C776" s="310" t="s">
        <v>398</v>
      </c>
      <c r="D776" s="310" t="s">
        <v>1</v>
      </c>
      <c r="E776" s="311"/>
      <c r="F776" s="381" t="s">
        <v>399</v>
      </c>
      <c r="G776" s="381" t="s">
        <v>400</v>
      </c>
      <c r="H776" s="381" t="s">
        <v>401</v>
      </c>
      <c r="I776" s="382" t="s">
        <v>402</v>
      </c>
    </row>
    <row r="777" spans="1:9" ht="13.5" hidden="1" thickTop="1">
      <c r="A777" s="351">
        <v>43</v>
      </c>
      <c r="B777" s="352" t="s">
        <v>508</v>
      </c>
      <c r="C777" s="353"/>
      <c r="D777" s="353"/>
      <c r="E777" s="353"/>
      <c r="F777" s="354"/>
      <c r="G777" s="354"/>
      <c r="H777" s="354"/>
      <c r="I777" s="355"/>
    </row>
    <row r="778" spans="1:9" hidden="1">
      <c r="A778" s="334"/>
      <c r="B778" s="335">
        <v>5.0000000000000001E-3</v>
      </c>
      <c r="C778" s="336"/>
      <c r="D778" s="336" t="s">
        <v>3</v>
      </c>
      <c r="E778" s="336"/>
      <c r="F778" s="337">
        <f>[2]Hardas!$E$10</f>
        <v>100000</v>
      </c>
      <c r="G778" s="338">
        <f>F778*B778</f>
        <v>500</v>
      </c>
      <c r="H778" s="338"/>
      <c r="I778" s="339"/>
    </row>
    <row r="779" spans="1:9" hidden="1">
      <c r="A779" s="334"/>
      <c r="B779" s="335">
        <v>0.01</v>
      </c>
      <c r="C779" s="336"/>
      <c r="D779" s="336" t="s">
        <v>4</v>
      </c>
      <c r="E779" s="336"/>
      <c r="F779" s="338">
        <f>[2]Hardas!$E$11</f>
        <v>91000</v>
      </c>
      <c r="G779" s="338">
        <f>F779*B779</f>
        <v>910</v>
      </c>
      <c r="H779" s="338"/>
      <c r="I779" s="339"/>
    </row>
    <row r="780" spans="1:9" hidden="1">
      <c r="A780" s="334"/>
      <c r="B780" s="335">
        <v>0.1</v>
      </c>
      <c r="C780" s="336"/>
      <c r="D780" s="336" t="s">
        <v>428</v>
      </c>
      <c r="E780" s="336"/>
      <c r="F780" s="338">
        <f>[2]Hardas!$E$14</f>
        <v>82000</v>
      </c>
      <c r="G780" s="338">
        <f>F780*B780</f>
        <v>8200</v>
      </c>
      <c r="H780" s="338"/>
      <c r="I780" s="339"/>
    </row>
    <row r="781" spans="1:9" hidden="1">
      <c r="A781" s="334"/>
      <c r="B781" s="335">
        <v>0.01</v>
      </c>
      <c r="C781" s="336"/>
      <c r="D781" s="336" t="s">
        <v>6</v>
      </c>
      <c r="E781" s="336"/>
      <c r="F781" s="338">
        <f>[2]Hardas!$E$21</f>
        <v>59000</v>
      </c>
      <c r="G781" s="338">
        <f>F781*B781</f>
        <v>590</v>
      </c>
      <c r="H781" s="338"/>
      <c r="I781" s="339"/>
    </row>
    <row r="782" spans="1:9" hidden="1">
      <c r="A782" s="329"/>
      <c r="B782" s="330"/>
      <c r="C782" s="331"/>
      <c r="D782" s="331"/>
      <c r="E782" s="331" t="s">
        <v>405</v>
      </c>
      <c r="F782" s="332"/>
      <c r="G782" s="332"/>
      <c r="H782" s="332"/>
      <c r="I782" s="333">
        <f>SUM(G778:G782)</f>
        <v>10200</v>
      </c>
    </row>
    <row r="783" spans="1:9" hidden="1">
      <c r="A783" s="334"/>
      <c r="B783" s="335"/>
      <c r="C783" s="336"/>
      <c r="D783" s="336"/>
      <c r="E783" s="336"/>
      <c r="F783" s="338"/>
      <c r="G783" s="338"/>
      <c r="H783" s="338"/>
      <c r="I783" s="339"/>
    </row>
    <row r="784" spans="1:9" hidden="1">
      <c r="A784" s="334"/>
      <c r="B784" s="335">
        <v>1</v>
      </c>
      <c r="C784" s="336" t="s">
        <v>433</v>
      </c>
      <c r="D784" s="336" t="s">
        <v>509</v>
      </c>
      <c r="E784" s="336"/>
      <c r="F784" s="338">
        <f>[2]Hardas!$E$212</f>
        <v>270480</v>
      </c>
      <c r="G784" s="338"/>
      <c r="H784" s="338">
        <f>F784*B784</f>
        <v>270480</v>
      </c>
      <c r="I784" s="339"/>
    </row>
    <row r="785" spans="1:9" hidden="1">
      <c r="A785" s="329"/>
      <c r="B785" s="330"/>
      <c r="C785" s="331"/>
      <c r="D785" s="331"/>
      <c r="E785" s="331" t="s">
        <v>410</v>
      </c>
      <c r="F785" s="332"/>
      <c r="G785" s="332"/>
      <c r="H785" s="332"/>
      <c r="I785" s="333">
        <f>SUM(H784:H785)</f>
        <v>270480</v>
      </c>
    </row>
    <row r="786" spans="1:9" hidden="1">
      <c r="A786" s="334"/>
      <c r="B786" s="335"/>
      <c r="C786" s="336"/>
      <c r="D786" s="336"/>
      <c r="E786" s="336"/>
      <c r="F786" s="338"/>
      <c r="G786" s="338"/>
      <c r="H786" s="338"/>
      <c r="I786" s="339"/>
    </row>
    <row r="787" spans="1:9" hidden="1">
      <c r="A787" s="334"/>
      <c r="B787" s="335"/>
      <c r="C787" s="336"/>
      <c r="D787" s="336"/>
      <c r="E787" s="336"/>
      <c r="F787" s="338"/>
      <c r="G787" s="338"/>
      <c r="H787" s="338"/>
      <c r="I787" s="339"/>
    </row>
    <row r="788" spans="1:9" hidden="1">
      <c r="A788" s="334"/>
      <c r="B788" s="335"/>
      <c r="C788" s="336"/>
      <c r="D788" s="336"/>
      <c r="E788" s="336"/>
      <c r="F788" s="338"/>
      <c r="G788" s="338"/>
      <c r="H788" s="338"/>
      <c r="I788" s="339"/>
    </row>
    <row r="789" spans="1:9" hidden="1">
      <c r="A789" s="329"/>
      <c r="B789" s="330"/>
      <c r="C789" s="331"/>
      <c r="D789" s="331"/>
      <c r="E789" s="331" t="s">
        <v>411</v>
      </c>
      <c r="F789" s="332"/>
      <c r="G789" s="332"/>
      <c r="H789" s="332"/>
      <c r="I789" s="333"/>
    </row>
    <row r="790" spans="1:9" hidden="1">
      <c r="A790" s="329"/>
      <c r="B790" s="330"/>
      <c r="C790" s="331"/>
      <c r="D790" s="331" t="s">
        <v>412</v>
      </c>
      <c r="E790" s="331"/>
      <c r="F790" s="332"/>
      <c r="G790" s="332"/>
      <c r="H790" s="332"/>
      <c r="I790" s="333">
        <f>SUM(I778:I789)</f>
        <v>280680</v>
      </c>
    </row>
    <row r="791" spans="1:9" hidden="1">
      <c r="A791" s="329"/>
      <c r="B791" s="330"/>
      <c r="C791" s="331"/>
      <c r="D791" s="331" t="s">
        <v>413</v>
      </c>
      <c r="E791" s="331"/>
      <c r="F791" s="332"/>
      <c r="G791" s="332"/>
      <c r="H791" s="332"/>
      <c r="I791" s="333">
        <f>I790*0.1</f>
        <v>28068</v>
      </c>
    </row>
    <row r="792" spans="1:9" hidden="1">
      <c r="A792" s="385"/>
      <c r="B792" s="361"/>
      <c r="C792" s="362"/>
      <c r="D792" s="363" t="s">
        <v>414</v>
      </c>
      <c r="E792" s="362"/>
      <c r="F792" s="364"/>
      <c r="G792" s="364"/>
      <c r="H792" s="364"/>
      <c r="I792" s="365">
        <f>ROUNDDOWN(I791+I790,0)</f>
        <v>308748</v>
      </c>
    </row>
    <row r="793" spans="1:9" ht="13.5" hidden="1" thickBot="1">
      <c r="A793" s="386"/>
      <c r="B793" s="367"/>
      <c r="C793" s="368"/>
      <c r="D793" s="369"/>
      <c r="E793" s="368"/>
      <c r="F793" s="370"/>
      <c r="G793" s="370"/>
      <c r="H793" s="370"/>
      <c r="I793" s="371"/>
    </row>
    <row r="794" spans="1:9" ht="14.25" hidden="1" thickTop="1" thickBot="1">
      <c r="A794" s="309" t="s">
        <v>0</v>
      </c>
      <c r="B794" s="380" t="s">
        <v>397</v>
      </c>
      <c r="C794" s="310" t="s">
        <v>398</v>
      </c>
      <c r="D794" s="310" t="s">
        <v>1</v>
      </c>
      <c r="E794" s="311"/>
      <c r="F794" s="381" t="s">
        <v>399</v>
      </c>
      <c r="G794" s="381" t="s">
        <v>400</v>
      </c>
      <c r="H794" s="381" t="s">
        <v>401</v>
      </c>
      <c r="I794" s="382" t="s">
        <v>402</v>
      </c>
    </row>
    <row r="795" spans="1:9" ht="13.5" hidden="1" thickTop="1">
      <c r="A795" s="351">
        <v>44</v>
      </c>
      <c r="B795" s="352" t="s">
        <v>510</v>
      </c>
      <c r="C795" s="353"/>
      <c r="D795" s="353"/>
      <c r="E795" s="353"/>
      <c r="F795" s="354"/>
      <c r="G795" s="354"/>
      <c r="H795" s="354"/>
      <c r="I795" s="355"/>
    </row>
    <row r="796" spans="1:9" hidden="1">
      <c r="A796" s="334"/>
      <c r="B796" s="335">
        <v>0.03</v>
      </c>
      <c r="C796" s="336" t="s">
        <v>511</v>
      </c>
      <c r="D796" s="336" t="s">
        <v>3</v>
      </c>
      <c r="E796" s="336"/>
      <c r="F796" s="337">
        <f>[2]Hardas!$E$10</f>
        <v>100000</v>
      </c>
      <c r="G796" s="338">
        <f>F796*B796</f>
        <v>3000</v>
      </c>
      <c r="H796" s="338"/>
      <c r="I796" s="339"/>
    </row>
    <row r="797" spans="1:9" hidden="1">
      <c r="A797" s="334"/>
      <c r="B797" s="335">
        <v>0.1</v>
      </c>
      <c r="C797" s="336" t="s">
        <v>511</v>
      </c>
      <c r="D797" s="336" t="s">
        <v>4</v>
      </c>
      <c r="E797" s="336"/>
      <c r="F797" s="338">
        <f>[2]Hardas!$E$11</f>
        <v>91000</v>
      </c>
      <c r="G797" s="338">
        <f>F797*B797</f>
        <v>9100</v>
      </c>
      <c r="H797" s="338"/>
      <c r="I797" s="339"/>
    </row>
    <row r="798" spans="1:9" hidden="1">
      <c r="A798" s="334"/>
      <c r="B798" s="335">
        <v>1.5</v>
      </c>
      <c r="C798" s="336" t="s">
        <v>511</v>
      </c>
      <c r="D798" s="336" t="s">
        <v>5</v>
      </c>
      <c r="E798" s="336"/>
      <c r="F798" s="338">
        <f>[2]Hardas!$E$13</f>
        <v>82000</v>
      </c>
      <c r="G798" s="338">
        <f>F798*B798</f>
        <v>123000</v>
      </c>
      <c r="H798" s="338"/>
      <c r="I798" s="339"/>
    </row>
    <row r="799" spans="1:9" hidden="1">
      <c r="A799" s="334"/>
      <c r="B799" s="335">
        <v>0.6</v>
      </c>
      <c r="C799" s="336" t="s">
        <v>511</v>
      </c>
      <c r="D799" s="336" t="s">
        <v>6</v>
      </c>
      <c r="E799" s="336"/>
      <c r="F799" s="338">
        <f>[2]Hardas!$E$21</f>
        <v>59000</v>
      </c>
      <c r="G799" s="338">
        <f>F799*B799</f>
        <v>35400</v>
      </c>
      <c r="H799" s="338"/>
      <c r="I799" s="339"/>
    </row>
    <row r="800" spans="1:9" hidden="1">
      <c r="A800" s="329"/>
      <c r="B800" s="330"/>
      <c r="C800" s="331"/>
      <c r="D800" s="331"/>
      <c r="E800" s="331" t="s">
        <v>405</v>
      </c>
      <c r="F800" s="332"/>
      <c r="G800" s="332"/>
      <c r="H800" s="332"/>
      <c r="I800" s="333">
        <f>SUM(G796:G800)</f>
        <v>170500</v>
      </c>
    </row>
    <row r="801" spans="1:9" hidden="1">
      <c r="A801" s="334"/>
      <c r="B801" s="335"/>
      <c r="C801" s="336"/>
      <c r="D801" s="336"/>
      <c r="E801" s="336"/>
      <c r="F801" s="338"/>
      <c r="G801" s="338"/>
      <c r="H801" s="338"/>
      <c r="I801" s="339"/>
    </row>
    <row r="802" spans="1:9" hidden="1">
      <c r="A802" s="334"/>
      <c r="B802" s="335">
        <v>4.8</v>
      </c>
      <c r="C802" s="336" t="s">
        <v>453</v>
      </c>
      <c r="D802" s="336" t="s">
        <v>512</v>
      </c>
      <c r="E802" s="336"/>
      <c r="F802" s="338">
        <f>[2]Hardas!$E$156</f>
        <v>1777000</v>
      </c>
      <c r="G802" s="338"/>
      <c r="H802" s="338">
        <f>F802*B802</f>
        <v>8529600</v>
      </c>
      <c r="I802" s="339"/>
    </row>
    <row r="803" spans="1:9" hidden="1">
      <c r="A803" s="334"/>
      <c r="B803" s="335">
        <v>1</v>
      </c>
      <c r="C803" s="336" t="s">
        <v>433</v>
      </c>
      <c r="D803" s="336" t="s">
        <v>513</v>
      </c>
      <c r="E803" s="336"/>
      <c r="F803" s="338">
        <f>[2]Hardas!$E$193</f>
        <v>195450</v>
      </c>
      <c r="G803" s="338"/>
      <c r="H803" s="338">
        <f>F803*B803</f>
        <v>195450</v>
      </c>
      <c r="I803" s="339"/>
    </row>
    <row r="804" spans="1:9" hidden="1">
      <c r="A804" s="334"/>
      <c r="B804" s="335">
        <v>4</v>
      </c>
      <c r="C804" s="336" t="s">
        <v>433</v>
      </c>
      <c r="D804" s="336" t="s">
        <v>29</v>
      </c>
      <c r="E804" s="336"/>
      <c r="F804" s="338">
        <f>[2]Hardas!$E$201</f>
        <v>75000</v>
      </c>
      <c r="G804" s="338"/>
      <c r="H804" s="338">
        <f>F804*B804</f>
        <v>300000</v>
      </c>
      <c r="I804" s="339"/>
    </row>
    <row r="805" spans="1:9" hidden="1">
      <c r="A805" s="334"/>
      <c r="B805" s="335">
        <v>4</v>
      </c>
      <c r="C805" s="336" t="s">
        <v>433</v>
      </c>
      <c r="D805" s="336" t="s">
        <v>514</v>
      </c>
      <c r="E805" s="336"/>
      <c r="F805" s="338">
        <f>[2]Hardas!$E$200</f>
        <v>50000</v>
      </c>
      <c r="G805" s="338"/>
      <c r="H805" s="338">
        <f>F805*B805</f>
        <v>200000</v>
      </c>
      <c r="I805" s="339"/>
    </row>
    <row r="806" spans="1:9" hidden="1">
      <c r="A806" s="329"/>
      <c r="B806" s="330"/>
      <c r="C806" s="331"/>
      <c r="D806" s="331"/>
      <c r="E806" s="331" t="s">
        <v>410</v>
      </c>
      <c r="F806" s="332"/>
      <c r="G806" s="332"/>
      <c r="H806" s="332"/>
      <c r="I806" s="333">
        <f>SUM(H802:H806)</f>
        <v>9225050</v>
      </c>
    </row>
    <row r="807" spans="1:9" hidden="1">
      <c r="A807" s="334"/>
      <c r="B807" s="335"/>
      <c r="C807" s="336"/>
      <c r="D807" s="336"/>
      <c r="E807" s="336"/>
      <c r="F807" s="338"/>
      <c r="G807" s="338"/>
      <c r="H807" s="338"/>
      <c r="I807" s="339"/>
    </row>
    <row r="808" spans="1:9" hidden="1">
      <c r="A808" s="334"/>
      <c r="B808" s="335"/>
      <c r="C808" s="336"/>
      <c r="D808" s="336"/>
      <c r="E808" s="336"/>
      <c r="F808" s="338"/>
      <c r="G808" s="338"/>
      <c r="H808" s="338"/>
      <c r="I808" s="339"/>
    </row>
    <row r="809" spans="1:9" hidden="1">
      <c r="A809" s="329"/>
      <c r="B809" s="330"/>
      <c r="C809" s="331"/>
      <c r="D809" s="331"/>
      <c r="E809" s="331" t="s">
        <v>411</v>
      </c>
      <c r="F809" s="332"/>
      <c r="G809" s="332"/>
      <c r="H809" s="332"/>
      <c r="I809" s="333"/>
    </row>
    <row r="810" spans="1:9" hidden="1">
      <c r="A810" s="329"/>
      <c r="B810" s="330"/>
      <c r="C810" s="331"/>
      <c r="D810" s="331" t="s">
        <v>412</v>
      </c>
      <c r="E810" s="331"/>
      <c r="F810" s="332"/>
      <c r="G810" s="332"/>
      <c r="H810" s="332"/>
      <c r="I810" s="333">
        <f>SUM(I796:I809)</f>
        <v>9395550</v>
      </c>
    </row>
    <row r="811" spans="1:9" hidden="1">
      <c r="A811" s="329"/>
      <c r="B811" s="330"/>
      <c r="C811" s="331"/>
      <c r="D811" s="331" t="s">
        <v>413</v>
      </c>
      <c r="E811" s="331"/>
      <c r="F811" s="332"/>
      <c r="G811" s="332"/>
      <c r="H811" s="332"/>
      <c r="I811" s="333">
        <f>I810*0.1</f>
        <v>939555</v>
      </c>
    </row>
    <row r="812" spans="1:9" hidden="1">
      <c r="A812" s="385"/>
      <c r="B812" s="361"/>
      <c r="C812" s="362"/>
      <c r="D812" s="363" t="s">
        <v>414</v>
      </c>
      <c r="E812" s="362"/>
      <c r="F812" s="364"/>
      <c r="G812" s="364"/>
      <c r="H812" s="364"/>
      <c r="I812" s="365">
        <f>ROUNDDOWN(I811+I810,0)</f>
        <v>10335105</v>
      </c>
    </row>
    <row r="813" spans="1:9" ht="13.5" hidden="1" thickBot="1">
      <c r="A813" s="386"/>
      <c r="B813" s="367"/>
      <c r="C813" s="368"/>
      <c r="D813" s="369"/>
      <c r="E813" s="368"/>
      <c r="F813" s="370"/>
      <c r="G813" s="370"/>
      <c r="H813" s="370"/>
      <c r="I813" s="371"/>
    </row>
    <row r="814" spans="1:9" ht="14.25" hidden="1" thickTop="1" thickBot="1">
      <c r="A814" s="309" t="s">
        <v>0</v>
      </c>
      <c r="B814" s="380" t="s">
        <v>397</v>
      </c>
      <c r="C814" s="310" t="s">
        <v>398</v>
      </c>
      <c r="D814" s="310" t="s">
        <v>1</v>
      </c>
      <c r="E814" s="311"/>
      <c r="F814" s="381" t="s">
        <v>399</v>
      </c>
      <c r="G814" s="381" t="s">
        <v>400</v>
      </c>
      <c r="H814" s="381" t="s">
        <v>401</v>
      </c>
      <c r="I814" s="382" t="s">
        <v>402</v>
      </c>
    </row>
    <row r="815" spans="1:9" ht="13.5" hidden="1" thickTop="1">
      <c r="A815" s="351">
        <v>45</v>
      </c>
      <c r="B815" s="352" t="s">
        <v>515</v>
      </c>
      <c r="C815" s="353"/>
      <c r="D815" s="353"/>
      <c r="E815" s="353"/>
      <c r="F815" s="354"/>
      <c r="G815" s="354"/>
      <c r="H815" s="354"/>
      <c r="I815" s="355"/>
    </row>
    <row r="816" spans="1:9" hidden="1">
      <c r="A816" s="334"/>
      <c r="B816" s="335">
        <v>0.03</v>
      </c>
      <c r="C816" s="336" t="s">
        <v>511</v>
      </c>
      <c r="D816" s="336" t="s">
        <v>3</v>
      </c>
      <c r="E816" s="336"/>
      <c r="F816" s="337">
        <f>[2]Hardas!$E$10</f>
        <v>100000</v>
      </c>
      <c r="G816" s="338">
        <f>F816*B816</f>
        <v>3000</v>
      </c>
      <c r="H816" s="338"/>
      <c r="I816" s="339"/>
    </row>
    <row r="817" spans="1:9" hidden="1">
      <c r="A817" s="334"/>
      <c r="B817" s="335">
        <v>0.2</v>
      </c>
      <c r="C817" s="336" t="s">
        <v>511</v>
      </c>
      <c r="D817" s="336" t="s">
        <v>4</v>
      </c>
      <c r="E817" s="336"/>
      <c r="F817" s="338">
        <f>[2]Hardas!$E$11</f>
        <v>91000</v>
      </c>
      <c r="G817" s="338">
        <f>F817*B817</f>
        <v>18200</v>
      </c>
      <c r="H817" s="338"/>
      <c r="I817" s="339"/>
    </row>
    <row r="818" spans="1:9" hidden="1">
      <c r="A818" s="334"/>
      <c r="B818" s="335">
        <v>2</v>
      </c>
      <c r="C818" s="336" t="s">
        <v>511</v>
      </c>
      <c r="D818" s="336" t="s">
        <v>5</v>
      </c>
      <c r="E818" s="336"/>
      <c r="F818" s="338">
        <f>[2]Hardas!$E$13</f>
        <v>82000</v>
      </c>
      <c r="G818" s="338">
        <f>F818*B818</f>
        <v>164000</v>
      </c>
      <c r="H818" s="338"/>
      <c r="I818" s="339"/>
    </row>
    <row r="819" spans="1:9" hidden="1">
      <c r="A819" s="334"/>
      <c r="B819" s="335">
        <v>0.6</v>
      </c>
      <c r="C819" s="336" t="s">
        <v>511</v>
      </c>
      <c r="D819" s="336" t="s">
        <v>6</v>
      </c>
      <c r="E819" s="336"/>
      <c r="F819" s="338">
        <f>[2]Hardas!$E$21</f>
        <v>59000</v>
      </c>
      <c r="G819" s="338">
        <f>F819*B819</f>
        <v>35400</v>
      </c>
      <c r="H819" s="338"/>
      <c r="I819" s="339"/>
    </row>
    <row r="820" spans="1:9" hidden="1">
      <c r="A820" s="329"/>
      <c r="B820" s="330"/>
      <c r="C820" s="331"/>
      <c r="D820" s="331"/>
      <c r="E820" s="331" t="s">
        <v>405</v>
      </c>
      <c r="F820" s="332"/>
      <c r="G820" s="332"/>
      <c r="H820" s="332"/>
      <c r="I820" s="333">
        <f>SUM(G816:G820)</f>
        <v>220600</v>
      </c>
    </row>
    <row r="821" spans="1:9" hidden="1">
      <c r="A821" s="334"/>
      <c r="B821" s="335"/>
      <c r="C821" s="336"/>
      <c r="D821" s="336"/>
      <c r="E821" s="336"/>
      <c r="F821" s="338"/>
      <c r="G821" s="338"/>
      <c r="H821" s="338"/>
      <c r="I821" s="339"/>
    </row>
    <row r="822" spans="1:9" hidden="1">
      <c r="A822" s="334"/>
      <c r="B822" s="335">
        <v>6.72</v>
      </c>
      <c r="C822" s="336" t="s">
        <v>30</v>
      </c>
      <c r="D822" s="336" t="s">
        <v>31</v>
      </c>
      <c r="E822" s="336"/>
      <c r="F822" s="338">
        <f>[2]Hardas!$E$71</f>
        <v>70360</v>
      </c>
      <c r="G822" s="338"/>
      <c r="H822" s="338">
        <f t="shared" ref="H822:H828" si="8">F822*B822</f>
        <v>472819.19999999995</v>
      </c>
      <c r="I822" s="339"/>
    </row>
    <row r="823" spans="1:9" hidden="1">
      <c r="A823" s="334"/>
      <c r="B823" s="335">
        <v>3.9</v>
      </c>
      <c r="C823" s="336" t="s">
        <v>23</v>
      </c>
      <c r="D823" s="336" t="s">
        <v>516</v>
      </c>
      <c r="E823" s="336"/>
      <c r="F823" s="338">
        <f>[2]Hardas!$E$120</f>
        <v>1400000</v>
      </c>
      <c r="G823" s="338"/>
      <c r="H823" s="338">
        <f t="shared" si="8"/>
        <v>5460000</v>
      </c>
      <c r="I823" s="339"/>
    </row>
    <row r="824" spans="1:9" hidden="1">
      <c r="A824" s="334"/>
      <c r="B824" s="335">
        <v>1</v>
      </c>
      <c r="C824" s="336" t="s">
        <v>433</v>
      </c>
      <c r="D824" s="336" t="s">
        <v>513</v>
      </c>
      <c r="E824" s="336"/>
      <c r="F824" s="338">
        <f>[2]Hardas!$E$193</f>
        <v>195450</v>
      </c>
      <c r="G824" s="338"/>
      <c r="H824" s="338">
        <f t="shared" si="8"/>
        <v>195450</v>
      </c>
      <c r="I824" s="339"/>
    </row>
    <row r="825" spans="1:9" hidden="1">
      <c r="A825" s="334"/>
      <c r="B825" s="335">
        <v>4</v>
      </c>
      <c r="C825" s="336" t="s">
        <v>433</v>
      </c>
      <c r="D825" s="336" t="s">
        <v>517</v>
      </c>
      <c r="E825" s="336"/>
      <c r="F825" s="338">
        <f>[2]Hardas!$E$200</f>
        <v>50000</v>
      </c>
      <c r="G825" s="338"/>
      <c r="H825" s="338">
        <f t="shared" si="8"/>
        <v>200000</v>
      </c>
      <c r="I825" s="339"/>
    </row>
    <row r="826" spans="1:9" hidden="1">
      <c r="A826" s="334"/>
      <c r="B826" s="335">
        <v>1</v>
      </c>
      <c r="C826" s="336" t="s">
        <v>7</v>
      </c>
      <c r="D826" s="336" t="s">
        <v>518</v>
      </c>
      <c r="E826" s="336"/>
      <c r="F826" s="338">
        <f>[2]Hardas!$E$60</f>
        <v>10500</v>
      </c>
      <c r="G826" s="338"/>
      <c r="H826" s="338">
        <f t="shared" si="8"/>
        <v>10500</v>
      </c>
      <c r="I826" s="339"/>
    </row>
    <row r="827" spans="1:9" hidden="1">
      <c r="A827" s="334"/>
      <c r="B827" s="335">
        <v>0.5</v>
      </c>
      <c r="C827" s="336" t="s">
        <v>7</v>
      </c>
      <c r="D827" s="336" t="s">
        <v>519</v>
      </c>
      <c r="E827" s="336"/>
      <c r="F827" s="338">
        <f>[2]Hardas!$E$92</f>
        <v>33000</v>
      </c>
      <c r="G827" s="338"/>
      <c r="H827" s="338">
        <f t="shared" si="8"/>
        <v>16500</v>
      </c>
      <c r="I827" s="339"/>
    </row>
    <row r="828" spans="1:9" hidden="1">
      <c r="A828" s="334"/>
      <c r="B828" s="335">
        <v>0.52</v>
      </c>
      <c r="C828" s="336" t="s">
        <v>7</v>
      </c>
      <c r="D828" s="336" t="s">
        <v>32</v>
      </c>
      <c r="E828" s="336"/>
      <c r="F828" s="338">
        <f>[2]Hardas!$E$93</f>
        <v>39500</v>
      </c>
      <c r="G828" s="338"/>
      <c r="H828" s="338">
        <f t="shared" si="8"/>
        <v>20540</v>
      </c>
      <c r="I828" s="339"/>
    </row>
    <row r="829" spans="1:9" hidden="1">
      <c r="A829" s="329"/>
      <c r="B829" s="330"/>
      <c r="C829" s="331"/>
      <c r="D829" s="331"/>
      <c r="E829" s="331" t="s">
        <v>410</v>
      </c>
      <c r="F829" s="332"/>
      <c r="G829" s="332"/>
      <c r="H829" s="332"/>
      <c r="I829" s="333">
        <f>SUM(H822:H829)</f>
        <v>6375809.2000000002</v>
      </c>
    </row>
    <row r="830" spans="1:9" hidden="1">
      <c r="A830" s="334"/>
      <c r="B830" s="335"/>
      <c r="C830" s="336"/>
      <c r="D830" s="336"/>
      <c r="E830" s="336"/>
      <c r="F830" s="338"/>
      <c r="G830" s="338"/>
      <c r="H830" s="338"/>
      <c r="I830" s="339"/>
    </row>
    <row r="831" spans="1:9" hidden="1">
      <c r="A831" s="334"/>
      <c r="B831" s="335"/>
      <c r="C831" s="336"/>
      <c r="D831" s="336"/>
      <c r="E831" s="336"/>
      <c r="F831" s="338"/>
      <c r="G831" s="338"/>
      <c r="H831" s="338"/>
      <c r="I831" s="339"/>
    </row>
    <row r="832" spans="1:9" hidden="1">
      <c r="A832" s="334"/>
      <c r="B832" s="335"/>
      <c r="C832" s="336"/>
      <c r="D832" s="336"/>
      <c r="E832" s="336"/>
      <c r="F832" s="338"/>
      <c r="G832" s="338"/>
      <c r="H832" s="338"/>
      <c r="I832" s="339"/>
    </row>
    <row r="833" spans="1:9" hidden="1">
      <c r="A833" s="329"/>
      <c r="B833" s="330"/>
      <c r="C833" s="331"/>
      <c r="D833" s="331"/>
      <c r="E833" s="331" t="s">
        <v>411</v>
      </c>
      <c r="F833" s="332"/>
      <c r="G833" s="332"/>
      <c r="H833" s="332"/>
      <c r="I833" s="333"/>
    </row>
    <row r="834" spans="1:9" hidden="1">
      <c r="A834" s="329"/>
      <c r="B834" s="330"/>
      <c r="C834" s="331"/>
      <c r="D834" s="331" t="s">
        <v>412</v>
      </c>
      <c r="E834" s="331"/>
      <c r="F834" s="332"/>
      <c r="G834" s="332"/>
      <c r="H834" s="332"/>
      <c r="I834" s="333">
        <f>SUM(I816:I833)</f>
        <v>6596409.2000000002</v>
      </c>
    </row>
    <row r="835" spans="1:9" hidden="1">
      <c r="A835" s="329"/>
      <c r="B835" s="330"/>
      <c r="C835" s="331"/>
      <c r="D835" s="331" t="s">
        <v>413</v>
      </c>
      <c r="E835" s="331"/>
      <c r="F835" s="332"/>
      <c r="G835" s="332"/>
      <c r="H835" s="332"/>
      <c r="I835" s="333">
        <f>I834*0.1</f>
        <v>659640.92000000004</v>
      </c>
    </row>
    <row r="836" spans="1:9" hidden="1">
      <c r="A836" s="385"/>
      <c r="B836" s="361"/>
      <c r="C836" s="362"/>
      <c r="D836" s="363" t="s">
        <v>414</v>
      </c>
      <c r="E836" s="362"/>
      <c r="F836" s="364"/>
      <c r="G836" s="364"/>
      <c r="H836" s="364"/>
      <c r="I836" s="365">
        <f>ROUNDDOWN(I835+I834,0)</f>
        <v>7256050</v>
      </c>
    </row>
    <row r="837" spans="1:9" ht="13.5" hidden="1" thickBot="1">
      <c r="A837" s="386"/>
      <c r="B837" s="367"/>
      <c r="C837" s="368"/>
      <c r="D837" s="369"/>
      <c r="E837" s="368"/>
      <c r="F837" s="370"/>
      <c r="G837" s="370"/>
      <c r="H837" s="370"/>
      <c r="I837" s="371"/>
    </row>
    <row r="838" spans="1:9" ht="14.25" hidden="1" thickTop="1" thickBot="1">
      <c r="A838" s="309" t="s">
        <v>0</v>
      </c>
      <c r="B838" s="380" t="s">
        <v>397</v>
      </c>
      <c r="C838" s="310" t="s">
        <v>398</v>
      </c>
      <c r="D838" s="310" t="s">
        <v>1</v>
      </c>
      <c r="E838" s="311"/>
      <c r="F838" s="381" t="s">
        <v>399</v>
      </c>
      <c r="G838" s="381" t="s">
        <v>400</v>
      </c>
      <c r="H838" s="381" t="s">
        <v>401</v>
      </c>
      <c r="I838" s="382" t="s">
        <v>402</v>
      </c>
    </row>
    <row r="839" spans="1:9" ht="13.5" hidden="1" thickTop="1">
      <c r="A839" s="351">
        <v>46</v>
      </c>
      <c r="B839" s="352" t="s">
        <v>520</v>
      </c>
      <c r="C839" s="353"/>
      <c r="D839" s="353"/>
      <c r="E839" s="353"/>
      <c r="F839" s="354"/>
      <c r="G839" s="354"/>
      <c r="H839" s="354"/>
      <c r="I839" s="355"/>
    </row>
    <row r="840" spans="1:9" hidden="1">
      <c r="A840" s="334"/>
      <c r="B840" s="335">
        <v>0.03</v>
      </c>
      <c r="C840" s="336" t="s">
        <v>511</v>
      </c>
      <c r="D840" s="336" t="s">
        <v>3</v>
      </c>
      <c r="E840" s="336"/>
      <c r="F840" s="337">
        <f>[2]Hardas!$E$10</f>
        <v>100000</v>
      </c>
      <c r="G840" s="338">
        <f>F840*B840</f>
        <v>3000</v>
      </c>
      <c r="H840" s="338"/>
      <c r="I840" s="339"/>
    </row>
    <row r="841" spans="1:9" hidden="1">
      <c r="A841" s="334"/>
      <c r="B841" s="335">
        <v>0.2</v>
      </c>
      <c r="C841" s="336" t="s">
        <v>511</v>
      </c>
      <c r="D841" s="336" t="s">
        <v>4</v>
      </c>
      <c r="E841" s="336"/>
      <c r="F841" s="338">
        <f>[2]Hardas!$E$11</f>
        <v>91000</v>
      </c>
      <c r="G841" s="338">
        <f>F841*B841</f>
        <v>18200</v>
      </c>
      <c r="H841" s="338"/>
      <c r="I841" s="339"/>
    </row>
    <row r="842" spans="1:9" hidden="1">
      <c r="A842" s="334"/>
      <c r="B842" s="335">
        <v>2</v>
      </c>
      <c r="C842" s="336" t="s">
        <v>511</v>
      </c>
      <c r="D842" s="336" t="s">
        <v>5</v>
      </c>
      <c r="E842" s="336"/>
      <c r="F842" s="338">
        <f>[2]Hardas!$E$13</f>
        <v>82000</v>
      </c>
      <c r="G842" s="338">
        <f>F842*B842</f>
        <v>164000</v>
      </c>
      <c r="H842" s="338"/>
      <c r="I842" s="339"/>
    </row>
    <row r="843" spans="1:9" hidden="1">
      <c r="A843" s="334"/>
      <c r="B843" s="335">
        <v>0.6</v>
      </c>
      <c r="C843" s="336" t="s">
        <v>511</v>
      </c>
      <c r="D843" s="336" t="s">
        <v>6</v>
      </c>
      <c r="E843" s="336"/>
      <c r="F843" s="338">
        <f>[2]Hardas!$E$21</f>
        <v>59000</v>
      </c>
      <c r="G843" s="338">
        <f>F843*B843</f>
        <v>35400</v>
      </c>
      <c r="H843" s="338"/>
      <c r="I843" s="339"/>
    </row>
    <row r="844" spans="1:9" hidden="1">
      <c r="A844" s="329"/>
      <c r="B844" s="330"/>
      <c r="C844" s="331"/>
      <c r="D844" s="331"/>
      <c r="E844" s="331" t="s">
        <v>405</v>
      </c>
      <c r="F844" s="332"/>
      <c r="G844" s="332"/>
      <c r="H844" s="332"/>
      <c r="I844" s="333">
        <f>SUM(G840:G844)</f>
        <v>220600</v>
      </c>
    </row>
    <row r="845" spans="1:9" hidden="1">
      <c r="A845" s="334"/>
      <c r="B845" s="335"/>
      <c r="C845" s="336"/>
      <c r="D845" s="336"/>
      <c r="E845" s="336"/>
      <c r="F845" s="338"/>
      <c r="G845" s="338"/>
      <c r="H845" s="338"/>
      <c r="I845" s="339"/>
    </row>
    <row r="846" spans="1:9" hidden="1">
      <c r="A846" s="334"/>
      <c r="B846" s="335">
        <v>6.9</v>
      </c>
      <c r="C846" s="336" t="s">
        <v>30</v>
      </c>
      <c r="D846" s="336" t="s">
        <v>31</v>
      </c>
      <c r="E846" s="336"/>
      <c r="F846" s="338">
        <f>[2]Hardas!$E$71</f>
        <v>70360</v>
      </c>
      <c r="G846" s="338"/>
      <c r="H846" s="338">
        <f t="shared" ref="H846:H852" si="9">F846*B846</f>
        <v>485484</v>
      </c>
      <c r="I846" s="339"/>
    </row>
    <row r="847" spans="1:9" hidden="1">
      <c r="A847" s="334"/>
      <c r="B847" s="335">
        <v>4.42</v>
      </c>
      <c r="C847" s="336" t="s">
        <v>23</v>
      </c>
      <c r="D847" s="336" t="s">
        <v>516</v>
      </c>
      <c r="E847" s="336"/>
      <c r="F847" s="338">
        <f>[2]Hardas!$E$120</f>
        <v>1400000</v>
      </c>
      <c r="G847" s="338"/>
      <c r="H847" s="338">
        <f t="shared" si="9"/>
        <v>6188000</v>
      </c>
      <c r="I847" s="339"/>
    </row>
    <row r="848" spans="1:9" hidden="1">
      <c r="A848" s="334"/>
      <c r="B848" s="335">
        <v>1</v>
      </c>
      <c r="C848" s="336" t="s">
        <v>433</v>
      </c>
      <c r="D848" s="336" t="s">
        <v>513</v>
      </c>
      <c r="E848" s="336"/>
      <c r="F848" s="338">
        <f>[2]Hardas!$E$193</f>
        <v>195450</v>
      </c>
      <c r="G848" s="338"/>
      <c r="H848" s="338">
        <f t="shared" si="9"/>
        <v>195450</v>
      </c>
      <c r="I848" s="339"/>
    </row>
    <row r="849" spans="1:9" hidden="1">
      <c r="A849" s="334"/>
      <c r="B849" s="335">
        <v>4</v>
      </c>
      <c r="C849" s="336" t="s">
        <v>433</v>
      </c>
      <c r="D849" s="336" t="s">
        <v>517</v>
      </c>
      <c r="E849" s="336"/>
      <c r="F849" s="338">
        <f>[2]Hardas!$E$200</f>
        <v>50000</v>
      </c>
      <c r="G849" s="338"/>
      <c r="H849" s="338">
        <f t="shared" si="9"/>
        <v>200000</v>
      </c>
      <c r="I849" s="339"/>
    </row>
    <row r="850" spans="1:9" hidden="1">
      <c r="A850" s="334"/>
      <c r="B850" s="335">
        <v>1</v>
      </c>
      <c r="C850" s="336" t="s">
        <v>7</v>
      </c>
      <c r="D850" s="336" t="s">
        <v>518</v>
      </c>
      <c r="E850" s="336"/>
      <c r="F850" s="338">
        <f>[2]Hardas!$E$60</f>
        <v>10500</v>
      </c>
      <c r="G850" s="338"/>
      <c r="H850" s="338">
        <f t="shared" si="9"/>
        <v>10500</v>
      </c>
      <c r="I850" s="339"/>
    </row>
    <row r="851" spans="1:9" hidden="1">
      <c r="A851" s="334"/>
      <c r="B851" s="335">
        <v>0.5</v>
      </c>
      <c r="C851" s="336" t="s">
        <v>7</v>
      </c>
      <c r="D851" s="336" t="s">
        <v>519</v>
      </c>
      <c r="E851" s="336"/>
      <c r="F851" s="338">
        <f>[2]Hardas!$E$92</f>
        <v>33000</v>
      </c>
      <c r="G851" s="338"/>
      <c r="H851" s="338">
        <f t="shared" si="9"/>
        <v>16500</v>
      </c>
      <c r="I851" s="339"/>
    </row>
    <row r="852" spans="1:9" hidden="1">
      <c r="A852" s="334"/>
      <c r="B852" s="335">
        <v>0.52</v>
      </c>
      <c r="C852" s="336" t="s">
        <v>7</v>
      </c>
      <c r="D852" s="336" t="s">
        <v>32</v>
      </c>
      <c r="E852" s="336"/>
      <c r="F852" s="338">
        <f>[2]Hardas!$E$93</f>
        <v>39500</v>
      </c>
      <c r="G852" s="338"/>
      <c r="H852" s="338">
        <f t="shared" si="9"/>
        <v>20540</v>
      </c>
      <c r="I852" s="339"/>
    </row>
    <row r="853" spans="1:9" hidden="1">
      <c r="A853" s="329"/>
      <c r="B853" s="330"/>
      <c r="C853" s="331"/>
      <c r="D853" s="331"/>
      <c r="E853" s="331" t="s">
        <v>410</v>
      </c>
      <c r="F853" s="332"/>
      <c r="G853" s="332"/>
      <c r="H853" s="332"/>
      <c r="I853" s="333">
        <f>SUM(H846:H853)</f>
        <v>7116474</v>
      </c>
    </row>
    <row r="854" spans="1:9" hidden="1">
      <c r="A854" s="334"/>
      <c r="B854" s="335"/>
      <c r="C854" s="336"/>
      <c r="D854" s="336"/>
      <c r="E854" s="336"/>
      <c r="F854" s="338"/>
      <c r="G854" s="338"/>
      <c r="H854" s="338"/>
      <c r="I854" s="339"/>
    </row>
    <row r="855" spans="1:9" hidden="1">
      <c r="A855" s="334"/>
      <c r="B855" s="335"/>
      <c r="C855" s="336"/>
      <c r="D855" s="336"/>
      <c r="E855" s="336"/>
      <c r="F855" s="338"/>
      <c r="G855" s="338"/>
      <c r="H855" s="338"/>
      <c r="I855" s="339"/>
    </row>
    <row r="856" spans="1:9" hidden="1">
      <c r="A856" s="334"/>
      <c r="B856" s="335"/>
      <c r="C856" s="336"/>
      <c r="D856" s="336"/>
      <c r="E856" s="336"/>
      <c r="F856" s="338"/>
      <c r="G856" s="338"/>
      <c r="H856" s="338"/>
      <c r="I856" s="339"/>
    </row>
    <row r="857" spans="1:9" hidden="1">
      <c r="A857" s="329"/>
      <c r="B857" s="330"/>
      <c r="C857" s="331"/>
      <c r="D857" s="331"/>
      <c r="E857" s="331" t="s">
        <v>411</v>
      </c>
      <c r="F857" s="332"/>
      <c r="G857" s="332"/>
      <c r="H857" s="332"/>
      <c r="I857" s="333"/>
    </row>
    <row r="858" spans="1:9" hidden="1">
      <c r="A858" s="329"/>
      <c r="B858" s="330"/>
      <c r="C858" s="331"/>
      <c r="D858" s="331" t="s">
        <v>412</v>
      </c>
      <c r="E858" s="331"/>
      <c r="F858" s="332"/>
      <c r="G858" s="332"/>
      <c r="H858" s="332"/>
      <c r="I858" s="333">
        <f>SUM(I840:I857)</f>
        <v>7337074</v>
      </c>
    </row>
    <row r="859" spans="1:9" hidden="1">
      <c r="A859" s="329"/>
      <c r="B859" s="330"/>
      <c r="C859" s="331"/>
      <c r="D859" s="331" t="s">
        <v>413</v>
      </c>
      <c r="E859" s="331"/>
      <c r="F859" s="332"/>
      <c r="G859" s="332"/>
      <c r="H859" s="332"/>
      <c r="I859" s="333">
        <f>I858*0.1</f>
        <v>733707.4</v>
      </c>
    </row>
    <row r="860" spans="1:9" hidden="1">
      <c r="A860" s="385"/>
      <c r="B860" s="361"/>
      <c r="C860" s="362"/>
      <c r="D860" s="363" t="s">
        <v>414</v>
      </c>
      <c r="E860" s="362"/>
      <c r="F860" s="364"/>
      <c r="G860" s="364"/>
      <c r="H860" s="364"/>
      <c r="I860" s="365">
        <f>ROUNDDOWN(I859+I858,0)</f>
        <v>8070781</v>
      </c>
    </row>
    <row r="861" spans="1:9" ht="13.5" hidden="1" thickBot="1">
      <c r="A861" s="386"/>
      <c r="B861" s="367"/>
      <c r="C861" s="368"/>
      <c r="D861" s="369"/>
      <c r="E861" s="368"/>
      <c r="F861" s="370"/>
      <c r="G861" s="370"/>
      <c r="H861" s="370"/>
      <c r="I861" s="371"/>
    </row>
    <row r="862" spans="1:9" ht="14.25" hidden="1" thickTop="1" thickBot="1">
      <c r="A862" s="309" t="s">
        <v>0</v>
      </c>
      <c r="B862" s="380" t="s">
        <v>397</v>
      </c>
      <c r="C862" s="310" t="s">
        <v>398</v>
      </c>
      <c r="D862" s="310" t="s">
        <v>1</v>
      </c>
      <c r="E862" s="311"/>
      <c r="F862" s="381" t="s">
        <v>399</v>
      </c>
      <c r="G862" s="381" t="s">
        <v>400</v>
      </c>
      <c r="H862" s="381" t="s">
        <v>401</v>
      </c>
      <c r="I862" s="382" t="s">
        <v>402</v>
      </c>
    </row>
    <row r="863" spans="1:9" ht="13.5" hidden="1" thickTop="1">
      <c r="A863" s="351">
        <v>47</v>
      </c>
      <c r="B863" s="352" t="s">
        <v>521</v>
      </c>
      <c r="C863" s="353"/>
      <c r="D863" s="353"/>
      <c r="E863" s="353"/>
      <c r="F863" s="354"/>
      <c r="G863" s="354"/>
      <c r="H863" s="354"/>
      <c r="I863" s="355"/>
    </row>
    <row r="864" spans="1:9" hidden="1">
      <c r="A864" s="334"/>
      <c r="B864" s="335">
        <v>0.03</v>
      </c>
      <c r="C864" s="336" t="s">
        <v>511</v>
      </c>
      <c r="D864" s="336" t="s">
        <v>3</v>
      </c>
      <c r="E864" s="336"/>
      <c r="F864" s="337">
        <f>[2]Hardas!$E$10</f>
        <v>100000</v>
      </c>
      <c r="G864" s="338">
        <f>F864*B864</f>
        <v>3000</v>
      </c>
      <c r="H864" s="338"/>
      <c r="I864" s="339"/>
    </row>
    <row r="865" spans="1:9" hidden="1">
      <c r="A865" s="334"/>
      <c r="B865" s="335">
        <v>0.2</v>
      </c>
      <c r="C865" s="336" t="s">
        <v>511</v>
      </c>
      <c r="D865" s="336" t="s">
        <v>4</v>
      </c>
      <c r="E865" s="336"/>
      <c r="F865" s="338">
        <f>[2]Hardas!$E$11</f>
        <v>91000</v>
      </c>
      <c r="G865" s="338">
        <f>F865*B865</f>
        <v>18200</v>
      </c>
      <c r="H865" s="338"/>
      <c r="I865" s="339"/>
    </row>
    <row r="866" spans="1:9" hidden="1">
      <c r="A866" s="334"/>
      <c r="B866" s="335">
        <v>2</v>
      </c>
      <c r="C866" s="336" t="s">
        <v>511</v>
      </c>
      <c r="D866" s="336" t="s">
        <v>5</v>
      </c>
      <c r="E866" s="336"/>
      <c r="F866" s="338">
        <f>[2]Hardas!$E$13</f>
        <v>82000</v>
      </c>
      <c r="G866" s="338">
        <f>F866*B866</f>
        <v>164000</v>
      </c>
      <c r="H866" s="338"/>
      <c r="I866" s="339"/>
    </row>
    <row r="867" spans="1:9" hidden="1">
      <c r="A867" s="334"/>
      <c r="B867" s="335">
        <v>0.6</v>
      </c>
      <c r="C867" s="336" t="s">
        <v>511</v>
      </c>
      <c r="D867" s="336" t="s">
        <v>6</v>
      </c>
      <c r="E867" s="336"/>
      <c r="F867" s="338">
        <f>[2]Hardas!$E$21</f>
        <v>59000</v>
      </c>
      <c r="G867" s="338">
        <f>F867*B867</f>
        <v>35400</v>
      </c>
      <c r="H867" s="338"/>
      <c r="I867" s="339"/>
    </row>
    <row r="868" spans="1:9" hidden="1">
      <c r="A868" s="329"/>
      <c r="B868" s="330"/>
      <c r="C868" s="331"/>
      <c r="D868" s="331"/>
      <c r="E868" s="331" t="s">
        <v>405</v>
      </c>
      <c r="F868" s="332"/>
      <c r="G868" s="332"/>
      <c r="H868" s="332"/>
      <c r="I868" s="333">
        <f>SUM(G864:G868)</f>
        <v>220600</v>
      </c>
    </row>
    <row r="869" spans="1:9" hidden="1">
      <c r="A869" s="334"/>
      <c r="B869" s="335"/>
      <c r="C869" s="336"/>
      <c r="D869" s="336"/>
      <c r="E869" s="336"/>
      <c r="F869" s="338"/>
      <c r="G869" s="338"/>
      <c r="H869" s="338"/>
      <c r="I869" s="339"/>
    </row>
    <row r="870" spans="1:9" hidden="1">
      <c r="A870" s="334"/>
      <c r="B870" s="335">
        <v>6.9</v>
      </c>
      <c r="C870" s="336" t="s">
        <v>30</v>
      </c>
      <c r="D870" s="336" t="s">
        <v>31</v>
      </c>
      <c r="E870" s="336"/>
      <c r="F870" s="338">
        <f>[2]Hardas!$E$71</f>
        <v>70360</v>
      </c>
      <c r="G870" s="338"/>
      <c r="H870" s="338">
        <f>F870*B870</f>
        <v>485484</v>
      </c>
      <c r="I870" s="339"/>
    </row>
    <row r="871" spans="1:9" hidden="1">
      <c r="A871" s="334"/>
      <c r="B871" s="335">
        <v>4.3</v>
      </c>
      <c r="C871" s="336" t="s">
        <v>453</v>
      </c>
      <c r="D871" s="336" t="s">
        <v>512</v>
      </c>
      <c r="E871" s="336"/>
      <c r="F871" s="338">
        <f>[2]Hardas!$E$156</f>
        <v>1777000</v>
      </c>
      <c r="G871" s="338"/>
      <c r="H871" s="338">
        <f>F871*B871</f>
        <v>7641100</v>
      </c>
      <c r="I871" s="339"/>
    </row>
    <row r="872" spans="1:9" hidden="1">
      <c r="A872" s="334"/>
      <c r="B872" s="335">
        <v>1</v>
      </c>
      <c r="C872" s="336" t="s">
        <v>433</v>
      </c>
      <c r="D872" s="336" t="s">
        <v>513</v>
      </c>
      <c r="E872" s="336"/>
      <c r="F872" s="338">
        <f>[2]Hardas!$E$193</f>
        <v>195450</v>
      </c>
      <c r="G872" s="338"/>
      <c r="H872" s="338">
        <f>F872*B872</f>
        <v>195450</v>
      </c>
      <c r="I872" s="339"/>
    </row>
    <row r="873" spans="1:9" hidden="1">
      <c r="A873" s="334"/>
      <c r="B873" s="335">
        <v>4</v>
      </c>
      <c r="C873" s="336" t="s">
        <v>433</v>
      </c>
      <c r="D873" s="336" t="s">
        <v>29</v>
      </c>
      <c r="E873" s="336"/>
      <c r="F873" s="338">
        <f>[2]Hardas!$E$201</f>
        <v>75000</v>
      </c>
      <c r="G873" s="338"/>
      <c r="H873" s="338">
        <f>F873*B873</f>
        <v>300000</v>
      </c>
      <c r="I873" s="339"/>
    </row>
    <row r="874" spans="1:9" hidden="1">
      <c r="A874" s="334"/>
      <c r="B874" s="335">
        <v>4</v>
      </c>
      <c r="C874" s="336" t="s">
        <v>433</v>
      </c>
      <c r="D874" s="336" t="s">
        <v>514</v>
      </c>
      <c r="E874" s="336"/>
      <c r="F874" s="338">
        <f>[2]Hardas!$E$200</f>
        <v>50000</v>
      </c>
      <c r="G874" s="338"/>
      <c r="H874" s="338">
        <f>F874*B874</f>
        <v>200000</v>
      </c>
      <c r="I874" s="339"/>
    </row>
    <row r="875" spans="1:9" hidden="1">
      <c r="A875" s="329"/>
      <c r="B875" s="330"/>
      <c r="C875" s="331"/>
      <c r="D875" s="331"/>
      <c r="E875" s="331" t="s">
        <v>410</v>
      </c>
      <c r="F875" s="332"/>
      <c r="G875" s="332"/>
      <c r="H875" s="332"/>
      <c r="I875" s="333">
        <f>SUM(H870:H875)</f>
        <v>8822034</v>
      </c>
    </row>
    <row r="876" spans="1:9" hidden="1">
      <c r="A876" s="334"/>
      <c r="B876" s="335"/>
      <c r="C876" s="336"/>
      <c r="D876" s="336"/>
      <c r="E876" s="336"/>
      <c r="F876" s="338"/>
      <c r="G876" s="338"/>
      <c r="H876" s="338"/>
      <c r="I876" s="339"/>
    </row>
    <row r="877" spans="1:9" hidden="1">
      <c r="A877" s="334"/>
      <c r="B877" s="335"/>
      <c r="C877" s="336"/>
      <c r="D877" s="336"/>
      <c r="E877" s="336"/>
      <c r="F877" s="338"/>
      <c r="G877" s="338"/>
      <c r="H877" s="338"/>
      <c r="I877" s="339"/>
    </row>
    <row r="878" spans="1:9" hidden="1">
      <c r="A878" s="329"/>
      <c r="B878" s="330"/>
      <c r="C878" s="331"/>
      <c r="D878" s="331"/>
      <c r="E878" s="331" t="s">
        <v>411</v>
      </c>
      <c r="F878" s="332"/>
      <c r="G878" s="332"/>
      <c r="H878" s="332"/>
      <c r="I878" s="333"/>
    </row>
    <row r="879" spans="1:9" hidden="1">
      <c r="A879" s="329"/>
      <c r="B879" s="330"/>
      <c r="C879" s="331"/>
      <c r="D879" s="331" t="s">
        <v>412</v>
      </c>
      <c r="E879" s="331"/>
      <c r="F879" s="332"/>
      <c r="G879" s="332"/>
      <c r="H879" s="332"/>
      <c r="I879" s="333">
        <f>SUM(I864:I878)</f>
        <v>9042634</v>
      </c>
    </row>
    <row r="880" spans="1:9" hidden="1">
      <c r="A880" s="329"/>
      <c r="B880" s="330"/>
      <c r="C880" s="331"/>
      <c r="D880" s="331" t="s">
        <v>413</v>
      </c>
      <c r="E880" s="331"/>
      <c r="F880" s="332"/>
      <c r="G880" s="332"/>
      <c r="H880" s="332"/>
      <c r="I880" s="333">
        <f>I879*0.1</f>
        <v>904263.4</v>
      </c>
    </row>
    <row r="881" spans="1:9" hidden="1">
      <c r="A881" s="385"/>
      <c r="B881" s="361"/>
      <c r="C881" s="362"/>
      <c r="D881" s="363" t="s">
        <v>414</v>
      </c>
      <c r="E881" s="362"/>
      <c r="F881" s="364"/>
      <c r="G881" s="364"/>
      <c r="H881" s="364"/>
      <c r="I881" s="365">
        <f>ROUNDDOWN(I880+I879,0)</f>
        <v>9946897</v>
      </c>
    </row>
    <row r="882" spans="1:9" ht="13.5" hidden="1" thickBot="1">
      <c r="A882" s="386"/>
      <c r="B882" s="367"/>
      <c r="C882" s="368"/>
      <c r="D882" s="369"/>
      <c r="E882" s="368"/>
      <c r="F882" s="370"/>
      <c r="G882" s="370"/>
      <c r="H882" s="370"/>
      <c r="I882" s="371"/>
    </row>
    <row r="883" spans="1:9" ht="14.25" hidden="1" thickTop="1" thickBot="1">
      <c r="A883" s="309" t="s">
        <v>0</v>
      </c>
      <c r="B883" s="380" t="s">
        <v>397</v>
      </c>
      <c r="C883" s="310" t="s">
        <v>398</v>
      </c>
      <c r="D883" s="310" t="s">
        <v>1</v>
      </c>
      <c r="E883" s="311"/>
      <c r="F883" s="381" t="s">
        <v>399</v>
      </c>
      <c r="G883" s="381" t="s">
        <v>400</v>
      </c>
      <c r="H883" s="381" t="s">
        <v>401</v>
      </c>
      <c r="I883" s="382" t="s">
        <v>402</v>
      </c>
    </row>
    <row r="884" spans="1:9" ht="13.5" hidden="1" thickTop="1">
      <c r="A884" s="351">
        <v>48</v>
      </c>
      <c r="B884" s="352" t="s">
        <v>522</v>
      </c>
      <c r="C884" s="353"/>
      <c r="D884" s="353"/>
      <c r="E884" s="353"/>
      <c r="F884" s="354"/>
      <c r="G884" s="354"/>
      <c r="H884" s="354"/>
      <c r="I884" s="355"/>
    </row>
    <row r="885" spans="1:9" hidden="1">
      <c r="A885" s="334"/>
      <c r="B885" s="335">
        <v>0.03</v>
      </c>
      <c r="C885" s="336" t="s">
        <v>511</v>
      </c>
      <c r="D885" s="336" t="s">
        <v>3</v>
      </c>
      <c r="E885" s="336"/>
      <c r="F885" s="337">
        <f>[2]Hardas!$E$10</f>
        <v>100000</v>
      </c>
      <c r="G885" s="338">
        <f>F885*B885</f>
        <v>3000</v>
      </c>
      <c r="H885" s="338"/>
      <c r="I885" s="339"/>
    </row>
    <row r="886" spans="1:9" hidden="1">
      <c r="A886" s="334"/>
      <c r="B886" s="335">
        <v>0.2</v>
      </c>
      <c r="C886" s="336" t="s">
        <v>511</v>
      </c>
      <c r="D886" s="336" t="s">
        <v>4</v>
      </c>
      <c r="E886" s="336"/>
      <c r="F886" s="338">
        <f>[2]Hardas!$E$11</f>
        <v>91000</v>
      </c>
      <c r="G886" s="338">
        <f>F886*B886</f>
        <v>18200</v>
      </c>
      <c r="H886" s="338"/>
      <c r="I886" s="339"/>
    </row>
    <row r="887" spans="1:9" hidden="1">
      <c r="A887" s="334"/>
      <c r="B887" s="335">
        <v>2</v>
      </c>
      <c r="C887" s="336" t="s">
        <v>511</v>
      </c>
      <c r="D887" s="336" t="s">
        <v>5</v>
      </c>
      <c r="E887" s="336"/>
      <c r="F887" s="338">
        <f>[2]Hardas!$E$13</f>
        <v>82000</v>
      </c>
      <c r="G887" s="338">
        <f>F887*B887</f>
        <v>164000</v>
      </c>
      <c r="H887" s="338"/>
      <c r="I887" s="339"/>
    </row>
    <row r="888" spans="1:9" hidden="1">
      <c r="A888" s="334"/>
      <c r="B888" s="335">
        <v>0.6</v>
      </c>
      <c r="C888" s="336" t="s">
        <v>511</v>
      </c>
      <c r="D888" s="336" t="s">
        <v>6</v>
      </c>
      <c r="E888" s="336"/>
      <c r="F888" s="338">
        <f>[2]Hardas!$E$21</f>
        <v>59000</v>
      </c>
      <c r="G888" s="338">
        <f>F888*B888</f>
        <v>35400</v>
      </c>
      <c r="H888" s="338"/>
      <c r="I888" s="339"/>
    </row>
    <row r="889" spans="1:9" hidden="1">
      <c r="A889" s="329"/>
      <c r="B889" s="330"/>
      <c r="C889" s="331"/>
      <c r="D889" s="331"/>
      <c r="E889" s="331" t="s">
        <v>405</v>
      </c>
      <c r="F889" s="332"/>
      <c r="G889" s="332"/>
      <c r="H889" s="332"/>
      <c r="I889" s="333">
        <f>SUM(G885:G889)</f>
        <v>220600</v>
      </c>
    </row>
    <row r="890" spans="1:9" hidden="1">
      <c r="A890" s="334"/>
      <c r="B890" s="335"/>
      <c r="C890" s="336"/>
      <c r="D890" s="336"/>
      <c r="E890" s="336"/>
      <c r="F890" s="338"/>
      <c r="G890" s="338"/>
      <c r="H890" s="338"/>
      <c r="I890" s="339"/>
    </row>
    <row r="891" spans="1:9" hidden="1">
      <c r="A891" s="334"/>
      <c r="B891" s="335">
        <v>6.24</v>
      </c>
      <c r="C891" s="336" t="s">
        <v>30</v>
      </c>
      <c r="D891" s="336" t="s">
        <v>31</v>
      </c>
      <c r="E891" s="336"/>
      <c r="F891" s="338">
        <f>[2]Hardas!$E$71</f>
        <v>70360</v>
      </c>
      <c r="G891" s="338"/>
      <c r="H891" s="338">
        <f t="shared" ref="H891:H898" si="10">F891*B891</f>
        <v>439046.40000000002</v>
      </c>
      <c r="I891" s="339"/>
    </row>
    <row r="892" spans="1:9" hidden="1">
      <c r="A892" s="334"/>
      <c r="B892" s="335">
        <v>1.92</v>
      </c>
      <c r="C892" s="336" t="s">
        <v>23</v>
      </c>
      <c r="D892" s="336" t="s">
        <v>516</v>
      </c>
      <c r="E892" s="336"/>
      <c r="F892" s="338">
        <f>[2]Hardas!$E$120</f>
        <v>1400000</v>
      </c>
      <c r="G892" s="338"/>
      <c r="H892" s="338">
        <f t="shared" si="10"/>
        <v>2688000</v>
      </c>
      <c r="I892" s="339"/>
    </row>
    <row r="893" spans="1:9" hidden="1">
      <c r="A893" s="334"/>
      <c r="B893" s="335">
        <v>0.68</v>
      </c>
      <c r="C893" s="336" t="s">
        <v>23</v>
      </c>
      <c r="D893" s="336" t="s">
        <v>523</v>
      </c>
      <c r="E893" s="336"/>
      <c r="F893" s="338">
        <f>[2]Hardas!$E$152</f>
        <v>465450</v>
      </c>
      <c r="G893" s="338"/>
      <c r="H893" s="338">
        <f t="shared" si="10"/>
        <v>316506</v>
      </c>
      <c r="I893" s="339"/>
    </row>
    <row r="894" spans="1:9" hidden="1">
      <c r="A894" s="334"/>
      <c r="B894" s="335">
        <v>1</v>
      </c>
      <c r="C894" s="336" t="s">
        <v>433</v>
      </c>
      <c r="D894" s="336" t="s">
        <v>513</v>
      </c>
      <c r="E894" s="336"/>
      <c r="F894" s="338">
        <f>[2]Hardas!$E$193</f>
        <v>195450</v>
      </c>
      <c r="G894" s="338"/>
      <c r="H894" s="338">
        <f t="shared" si="10"/>
        <v>195450</v>
      </c>
      <c r="I894" s="339"/>
    </row>
    <row r="895" spans="1:9" hidden="1">
      <c r="A895" s="334"/>
      <c r="B895" s="335">
        <v>4</v>
      </c>
      <c r="C895" s="336" t="s">
        <v>433</v>
      </c>
      <c r="D895" s="336" t="s">
        <v>517</v>
      </c>
      <c r="E895" s="336"/>
      <c r="F895" s="338">
        <f>[2]Hardas!$E$200</f>
        <v>50000</v>
      </c>
      <c r="G895" s="338"/>
      <c r="H895" s="338">
        <f t="shared" si="10"/>
        <v>200000</v>
      </c>
      <c r="I895" s="339"/>
    </row>
    <row r="896" spans="1:9" hidden="1">
      <c r="A896" s="334"/>
      <c r="B896" s="335">
        <v>1</v>
      </c>
      <c r="C896" s="336" t="s">
        <v>7</v>
      </c>
      <c r="D896" s="336" t="s">
        <v>518</v>
      </c>
      <c r="E896" s="336"/>
      <c r="F896" s="338">
        <f>[2]Hardas!$E$60</f>
        <v>10500</v>
      </c>
      <c r="G896" s="338"/>
      <c r="H896" s="338">
        <f t="shared" si="10"/>
        <v>10500</v>
      </c>
      <c r="I896" s="339"/>
    </row>
    <row r="897" spans="1:9" hidden="1">
      <c r="A897" s="334"/>
      <c r="B897" s="335">
        <v>0.5</v>
      </c>
      <c r="C897" s="336" t="s">
        <v>7</v>
      </c>
      <c r="D897" s="336" t="s">
        <v>519</v>
      </c>
      <c r="E897" s="336"/>
      <c r="F897" s="338">
        <f>[2]Hardas!$E$92</f>
        <v>33000</v>
      </c>
      <c r="G897" s="338"/>
      <c r="H897" s="338">
        <f t="shared" si="10"/>
        <v>16500</v>
      </c>
      <c r="I897" s="339"/>
    </row>
    <row r="898" spans="1:9" hidden="1">
      <c r="A898" s="334"/>
      <c r="B898" s="335">
        <v>0.52</v>
      </c>
      <c r="C898" s="336" t="s">
        <v>7</v>
      </c>
      <c r="D898" s="336" t="s">
        <v>32</v>
      </c>
      <c r="E898" s="336"/>
      <c r="F898" s="338">
        <f>[2]Hardas!$E$93</f>
        <v>39500</v>
      </c>
      <c r="G898" s="338"/>
      <c r="H898" s="338">
        <f t="shared" si="10"/>
        <v>20540</v>
      </c>
      <c r="I898" s="339"/>
    </row>
    <row r="899" spans="1:9" hidden="1">
      <c r="A899" s="329"/>
      <c r="B899" s="330"/>
      <c r="C899" s="331"/>
      <c r="D899" s="331"/>
      <c r="E899" s="331" t="s">
        <v>410</v>
      </c>
      <c r="F899" s="332"/>
      <c r="G899" s="332"/>
      <c r="H899" s="332"/>
      <c r="I899" s="333">
        <f>SUM(H891:H899)</f>
        <v>3886542.4</v>
      </c>
    </row>
    <row r="900" spans="1:9" hidden="1">
      <c r="A900" s="334"/>
      <c r="B900" s="335"/>
      <c r="C900" s="336"/>
      <c r="D900" s="336"/>
      <c r="E900" s="336"/>
      <c r="F900" s="338"/>
      <c r="G900" s="338"/>
      <c r="H900" s="338"/>
      <c r="I900" s="339"/>
    </row>
    <row r="901" spans="1:9" hidden="1">
      <c r="A901" s="334"/>
      <c r="B901" s="335"/>
      <c r="C901" s="336"/>
      <c r="D901" s="336"/>
      <c r="E901" s="336"/>
      <c r="F901" s="338"/>
      <c r="G901" s="338"/>
      <c r="H901" s="338"/>
      <c r="I901" s="339"/>
    </row>
    <row r="902" spans="1:9" hidden="1">
      <c r="A902" s="334"/>
      <c r="B902" s="335"/>
      <c r="C902" s="336"/>
      <c r="D902" s="336"/>
      <c r="E902" s="336"/>
      <c r="F902" s="338"/>
      <c r="G902" s="338"/>
      <c r="H902" s="338"/>
      <c r="I902" s="339"/>
    </row>
    <row r="903" spans="1:9" hidden="1">
      <c r="A903" s="329"/>
      <c r="B903" s="330"/>
      <c r="C903" s="331"/>
      <c r="D903" s="331"/>
      <c r="E903" s="331" t="s">
        <v>411</v>
      </c>
      <c r="F903" s="332"/>
      <c r="G903" s="332"/>
      <c r="H903" s="332"/>
      <c r="I903" s="333"/>
    </row>
    <row r="904" spans="1:9" hidden="1">
      <c r="A904" s="329"/>
      <c r="B904" s="330"/>
      <c r="C904" s="331"/>
      <c r="D904" s="331" t="s">
        <v>412</v>
      </c>
      <c r="E904" s="331"/>
      <c r="F904" s="332"/>
      <c r="G904" s="332"/>
      <c r="H904" s="332"/>
      <c r="I904" s="333">
        <f>SUM(I885:I903)</f>
        <v>4107142.4</v>
      </c>
    </row>
    <row r="905" spans="1:9" hidden="1">
      <c r="A905" s="329"/>
      <c r="B905" s="330"/>
      <c r="C905" s="331"/>
      <c r="D905" s="331" t="s">
        <v>413</v>
      </c>
      <c r="E905" s="331"/>
      <c r="F905" s="332"/>
      <c r="G905" s="332"/>
      <c r="H905" s="332"/>
      <c r="I905" s="333">
        <f>I904*0.1</f>
        <v>410714.24</v>
      </c>
    </row>
    <row r="906" spans="1:9" hidden="1">
      <c r="A906" s="385"/>
      <c r="B906" s="361"/>
      <c r="C906" s="362"/>
      <c r="D906" s="363" t="s">
        <v>414</v>
      </c>
      <c r="E906" s="362"/>
      <c r="F906" s="364"/>
      <c r="G906" s="364"/>
      <c r="H906" s="364"/>
      <c r="I906" s="365">
        <f>ROUNDDOWN(I905+I904,0)</f>
        <v>4517856</v>
      </c>
    </row>
    <row r="907" spans="1:9" ht="13.5" hidden="1" thickBot="1">
      <c r="A907" s="386"/>
      <c r="B907" s="367"/>
      <c r="C907" s="368"/>
      <c r="D907" s="369"/>
      <c r="E907" s="368"/>
      <c r="F907" s="370"/>
      <c r="G907" s="370"/>
      <c r="H907" s="370"/>
      <c r="I907" s="371"/>
    </row>
    <row r="908" spans="1:9" ht="14.25" hidden="1" thickTop="1" thickBot="1">
      <c r="A908" s="309" t="s">
        <v>0</v>
      </c>
      <c r="B908" s="380" t="s">
        <v>397</v>
      </c>
      <c r="C908" s="310" t="s">
        <v>398</v>
      </c>
      <c r="D908" s="310" t="s">
        <v>1</v>
      </c>
      <c r="E908" s="311"/>
      <c r="F908" s="381" t="s">
        <v>399</v>
      </c>
      <c r="G908" s="381" t="s">
        <v>400</v>
      </c>
      <c r="H908" s="381" t="s">
        <v>401</v>
      </c>
      <c r="I908" s="382" t="s">
        <v>402</v>
      </c>
    </row>
    <row r="909" spans="1:9" ht="13.5" hidden="1" thickTop="1">
      <c r="A909" s="351">
        <v>49</v>
      </c>
      <c r="B909" s="352" t="s">
        <v>524</v>
      </c>
      <c r="C909" s="353"/>
      <c r="D909" s="353"/>
      <c r="E909" s="353"/>
      <c r="F909" s="354"/>
      <c r="G909" s="354"/>
      <c r="H909" s="354"/>
      <c r="I909" s="355"/>
    </row>
    <row r="910" spans="1:9" hidden="1">
      <c r="A910" s="334"/>
      <c r="B910" s="335">
        <v>0.03</v>
      </c>
      <c r="C910" s="336" t="s">
        <v>511</v>
      </c>
      <c r="D910" s="336" t="s">
        <v>3</v>
      </c>
      <c r="E910" s="336"/>
      <c r="F910" s="337">
        <f>[2]Hardas!$E$10</f>
        <v>100000</v>
      </c>
      <c r="G910" s="338">
        <f>F910*B910</f>
        <v>3000</v>
      </c>
      <c r="H910" s="338"/>
      <c r="I910" s="339"/>
    </row>
    <row r="911" spans="1:9" hidden="1">
      <c r="A911" s="334"/>
      <c r="B911" s="335">
        <v>0.2</v>
      </c>
      <c r="C911" s="336" t="s">
        <v>511</v>
      </c>
      <c r="D911" s="336" t="s">
        <v>4</v>
      </c>
      <c r="E911" s="336"/>
      <c r="F911" s="338">
        <f>[2]Hardas!$E$11</f>
        <v>91000</v>
      </c>
      <c r="G911" s="338">
        <f>F911*B911</f>
        <v>18200</v>
      </c>
      <c r="H911" s="338"/>
      <c r="I911" s="339"/>
    </row>
    <row r="912" spans="1:9" hidden="1">
      <c r="A912" s="334"/>
      <c r="B912" s="335">
        <v>2</v>
      </c>
      <c r="C912" s="336" t="s">
        <v>511</v>
      </c>
      <c r="D912" s="336" t="s">
        <v>5</v>
      </c>
      <c r="E912" s="336"/>
      <c r="F912" s="338">
        <f>[2]Hardas!$E$13</f>
        <v>82000</v>
      </c>
      <c r="G912" s="338">
        <f>F912*B912</f>
        <v>164000</v>
      </c>
      <c r="H912" s="338"/>
      <c r="I912" s="339"/>
    </row>
    <row r="913" spans="1:9" hidden="1">
      <c r="A913" s="334"/>
      <c r="B913" s="335">
        <v>0.6</v>
      </c>
      <c r="C913" s="336" t="s">
        <v>511</v>
      </c>
      <c r="D913" s="336" t="s">
        <v>6</v>
      </c>
      <c r="E913" s="336"/>
      <c r="F913" s="338">
        <f>[2]Hardas!$E$21</f>
        <v>59000</v>
      </c>
      <c r="G913" s="338">
        <f>F913*B913</f>
        <v>35400</v>
      </c>
      <c r="H913" s="338"/>
      <c r="I913" s="339"/>
    </row>
    <row r="914" spans="1:9" hidden="1">
      <c r="A914" s="329"/>
      <c r="B914" s="330"/>
      <c r="C914" s="331"/>
      <c r="D914" s="331"/>
      <c r="E914" s="331" t="s">
        <v>405</v>
      </c>
      <c r="F914" s="332"/>
      <c r="G914" s="332"/>
      <c r="H914" s="332"/>
      <c r="I914" s="333">
        <f>SUM(G910:G914)</f>
        <v>220600</v>
      </c>
    </row>
    <row r="915" spans="1:9" hidden="1">
      <c r="A915" s="334"/>
      <c r="B915" s="335"/>
      <c r="C915" s="336"/>
      <c r="D915" s="336"/>
      <c r="E915" s="336"/>
      <c r="F915" s="338"/>
      <c r="G915" s="338"/>
      <c r="H915" s="338"/>
      <c r="I915" s="339"/>
    </row>
    <row r="916" spans="1:9" hidden="1">
      <c r="A916" s="334"/>
      <c r="B916" s="335">
        <v>6</v>
      </c>
      <c r="C916" s="336" t="s">
        <v>30</v>
      </c>
      <c r="D916" s="336" t="s">
        <v>31</v>
      </c>
      <c r="E916" s="336"/>
      <c r="F916" s="338">
        <f>[2]Hardas!$E$71</f>
        <v>70360</v>
      </c>
      <c r="G916" s="338"/>
      <c r="H916" s="338">
        <f t="shared" ref="H916:H923" si="11">F916*B916</f>
        <v>422160</v>
      </c>
      <c r="I916" s="339"/>
    </row>
    <row r="917" spans="1:9" hidden="1">
      <c r="A917" s="334"/>
      <c r="B917" s="335">
        <v>1.92</v>
      </c>
      <c r="C917" s="336" t="s">
        <v>23</v>
      </c>
      <c r="D917" s="336" t="s">
        <v>516</v>
      </c>
      <c r="E917" s="336"/>
      <c r="F917" s="338">
        <f>[2]Hardas!$E$120</f>
        <v>1400000</v>
      </c>
      <c r="G917" s="338"/>
      <c r="H917" s="338">
        <f t="shared" si="11"/>
        <v>2688000</v>
      </c>
      <c r="I917" s="339"/>
    </row>
    <row r="918" spans="1:9" hidden="1">
      <c r="A918" s="334"/>
      <c r="B918" s="335">
        <v>0.65</v>
      </c>
      <c r="C918" s="336" t="s">
        <v>23</v>
      </c>
      <c r="D918" s="336" t="s">
        <v>523</v>
      </c>
      <c r="E918" s="336"/>
      <c r="F918" s="338">
        <f>[2]Hardas!$E$152</f>
        <v>465450</v>
      </c>
      <c r="G918" s="338"/>
      <c r="H918" s="338">
        <f t="shared" si="11"/>
        <v>302542.5</v>
      </c>
      <c r="I918" s="339"/>
    </row>
    <row r="919" spans="1:9" hidden="1">
      <c r="A919" s="334"/>
      <c r="B919" s="335">
        <v>1</v>
      </c>
      <c r="C919" s="336" t="s">
        <v>433</v>
      </c>
      <c r="D919" s="336" t="s">
        <v>513</v>
      </c>
      <c r="E919" s="336"/>
      <c r="F919" s="338">
        <f>[2]Hardas!$E$193</f>
        <v>195450</v>
      </c>
      <c r="G919" s="338"/>
      <c r="H919" s="338">
        <f t="shared" si="11"/>
        <v>195450</v>
      </c>
      <c r="I919" s="339"/>
    </row>
    <row r="920" spans="1:9" hidden="1">
      <c r="A920" s="334"/>
      <c r="B920" s="335">
        <v>4</v>
      </c>
      <c r="C920" s="336" t="s">
        <v>433</v>
      </c>
      <c r="D920" s="336" t="s">
        <v>517</v>
      </c>
      <c r="E920" s="336"/>
      <c r="F920" s="338">
        <f>[2]Hardas!$E$200</f>
        <v>50000</v>
      </c>
      <c r="G920" s="338"/>
      <c r="H920" s="338">
        <f t="shared" si="11"/>
        <v>200000</v>
      </c>
      <c r="I920" s="339"/>
    </row>
    <row r="921" spans="1:9" hidden="1">
      <c r="A921" s="334"/>
      <c r="B921" s="335">
        <v>1</v>
      </c>
      <c r="C921" s="336" t="s">
        <v>7</v>
      </c>
      <c r="D921" s="336" t="s">
        <v>518</v>
      </c>
      <c r="E921" s="336"/>
      <c r="F921" s="338">
        <f>[2]Hardas!$E$60</f>
        <v>10500</v>
      </c>
      <c r="G921" s="338"/>
      <c r="H921" s="338">
        <f t="shared" si="11"/>
        <v>10500</v>
      </c>
      <c r="I921" s="339"/>
    </row>
    <row r="922" spans="1:9" hidden="1">
      <c r="A922" s="334"/>
      <c r="B922" s="335">
        <v>0.5</v>
      </c>
      <c r="C922" s="336" t="s">
        <v>7</v>
      </c>
      <c r="D922" s="336" t="s">
        <v>519</v>
      </c>
      <c r="E922" s="336"/>
      <c r="F922" s="338">
        <f>[2]Hardas!$E$92</f>
        <v>33000</v>
      </c>
      <c r="G922" s="338"/>
      <c r="H922" s="338">
        <f t="shared" si="11"/>
        <v>16500</v>
      </c>
      <c r="I922" s="339"/>
    </row>
    <row r="923" spans="1:9" hidden="1">
      <c r="A923" s="334"/>
      <c r="B923" s="335">
        <v>0.52</v>
      </c>
      <c r="C923" s="336" t="s">
        <v>7</v>
      </c>
      <c r="D923" s="336" t="s">
        <v>32</v>
      </c>
      <c r="E923" s="336"/>
      <c r="F923" s="338">
        <f>[2]Hardas!$E$93</f>
        <v>39500</v>
      </c>
      <c r="G923" s="338"/>
      <c r="H923" s="338">
        <f t="shared" si="11"/>
        <v>20540</v>
      </c>
      <c r="I923" s="339"/>
    </row>
    <row r="924" spans="1:9" hidden="1">
      <c r="A924" s="329"/>
      <c r="B924" s="330"/>
      <c r="C924" s="331"/>
      <c r="D924" s="331"/>
      <c r="E924" s="331" t="s">
        <v>410</v>
      </c>
      <c r="F924" s="332"/>
      <c r="G924" s="332"/>
      <c r="H924" s="332"/>
      <c r="I924" s="333">
        <f>SUM(H916:H924)</f>
        <v>3855692.5</v>
      </c>
    </row>
    <row r="925" spans="1:9" hidden="1">
      <c r="A925" s="334"/>
      <c r="B925" s="335"/>
      <c r="C925" s="336"/>
      <c r="D925" s="336"/>
      <c r="E925" s="336"/>
      <c r="F925" s="338"/>
      <c r="G925" s="338"/>
      <c r="H925" s="338"/>
      <c r="I925" s="339"/>
    </row>
    <row r="926" spans="1:9" hidden="1">
      <c r="A926" s="334"/>
      <c r="B926" s="335"/>
      <c r="C926" s="336"/>
      <c r="D926" s="336"/>
      <c r="E926" s="336"/>
      <c r="F926" s="338"/>
      <c r="G926" s="338"/>
      <c r="H926" s="338"/>
      <c r="I926" s="339"/>
    </row>
    <row r="927" spans="1:9" hidden="1">
      <c r="A927" s="334"/>
      <c r="B927" s="335"/>
      <c r="C927" s="336"/>
      <c r="D927" s="336"/>
      <c r="E927" s="336"/>
      <c r="F927" s="338"/>
      <c r="G927" s="338"/>
      <c r="H927" s="338"/>
      <c r="I927" s="339"/>
    </row>
    <row r="928" spans="1:9" hidden="1">
      <c r="A928" s="329"/>
      <c r="B928" s="330"/>
      <c r="C928" s="331"/>
      <c r="D928" s="331"/>
      <c r="E928" s="331" t="s">
        <v>411</v>
      </c>
      <c r="F928" s="332"/>
      <c r="G928" s="332"/>
      <c r="H928" s="332"/>
      <c r="I928" s="333"/>
    </row>
    <row r="929" spans="1:9" hidden="1">
      <c r="A929" s="329"/>
      <c r="B929" s="330"/>
      <c r="C929" s="331"/>
      <c r="D929" s="331" t="s">
        <v>412</v>
      </c>
      <c r="E929" s="331"/>
      <c r="F929" s="332"/>
      <c r="G929" s="332"/>
      <c r="H929" s="332"/>
      <c r="I929" s="333">
        <f>SUM(I910:I928)</f>
        <v>4076292.5</v>
      </c>
    </row>
    <row r="930" spans="1:9" hidden="1">
      <c r="A930" s="329"/>
      <c r="B930" s="330"/>
      <c r="C930" s="331"/>
      <c r="D930" s="331" t="s">
        <v>413</v>
      </c>
      <c r="E930" s="331"/>
      <c r="F930" s="332"/>
      <c r="G930" s="332"/>
      <c r="H930" s="332"/>
      <c r="I930" s="333">
        <f>I929*0.1</f>
        <v>407629.25</v>
      </c>
    </row>
    <row r="931" spans="1:9" hidden="1">
      <c r="A931" s="385"/>
      <c r="B931" s="361"/>
      <c r="C931" s="362"/>
      <c r="D931" s="363" t="s">
        <v>414</v>
      </c>
      <c r="E931" s="362"/>
      <c r="F931" s="364"/>
      <c r="G931" s="364"/>
      <c r="H931" s="364"/>
      <c r="I931" s="365">
        <f>ROUNDDOWN(I930+I929,0)</f>
        <v>4483921</v>
      </c>
    </row>
    <row r="932" spans="1:9" ht="13.5" hidden="1" thickBot="1">
      <c r="A932" s="386"/>
      <c r="B932" s="367"/>
      <c r="C932" s="368"/>
      <c r="D932" s="369"/>
      <c r="E932" s="368"/>
      <c r="F932" s="370"/>
      <c r="G932" s="370"/>
      <c r="H932" s="370"/>
      <c r="I932" s="371"/>
    </row>
    <row r="933" spans="1:9" ht="14.25" hidden="1" thickTop="1" thickBot="1">
      <c r="A933" s="309" t="s">
        <v>0</v>
      </c>
      <c r="B933" s="380" t="s">
        <v>397</v>
      </c>
      <c r="C933" s="310" t="s">
        <v>398</v>
      </c>
      <c r="D933" s="310" t="s">
        <v>1</v>
      </c>
      <c r="E933" s="311"/>
      <c r="F933" s="381" t="s">
        <v>399</v>
      </c>
      <c r="G933" s="381" t="s">
        <v>400</v>
      </c>
      <c r="H933" s="381" t="s">
        <v>401</v>
      </c>
      <c r="I933" s="382" t="s">
        <v>402</v>
      </c>
    </row>
    <row r="934" spans="1:9" ht="13.5" hidden="1" thickTop="1">
      <c r="A934" s="351">
        <v>50</v>
      </c>
      <c r="B934" s="352" t="s">
        <v>525</v>
      </c>
      <c r="C934" s="353"/>
      <c r="D934" s="353"/>
      <c r="E934" s="353"/>
      <c r="F934" s="354"/>
      <c r="G934" s="354"/>
      <c r="H934" s="354"/>
      <c r="I934" s="355"/>
    </row>
    <row r="935" spans="1:9" hidden="1">
      <c r="A935" s="334"/>
      <c r="B935" s="335">
        <v>0.03</v>
      </c>
      <c r="C935" s="336" t="s">
        <v>511</v>
      </c>
      <c r="D935" s="336" t="s">
        <v>3</v>
      </c>
      <c r="E935" s="336"/>
      <c r="F935" s="337">
        <f>[2]Hardas!$E$10</f>
        <v>100000</v>
      </c>
      <c r="G935" s="338">
        <f>F935*B935</f>
        <v>3000</v>
      </c>
      <c r="H935" s="338"/>
      <c r="I935" s="339"/>
    </row>
    <row r="936" spans="1:9" hidden="1">
      <c r="A936" s="334"/>
      <c r="B936" s="335">
        <v>0.2</v>
      </c>
      <c r="C936" s="336" t="s">
        <v>511</v>
      </c>
      <c r="D936" s="336" t="s">
        <v>4</v>
      </c>
      <c r="E936" s="336"/>
      <c r="F936" s="338">
        <f>[2]Hardas!$E$11</f>
        <v>91000</v>
      </c>
      <c r="G936" s="338">
        <f>F936*B936</f>
        <v>18200</v>
      </c>
      <c r="H936" s="338"/>
      <c r="I936" s="339"/>
    </row>
    <row r="937" spans="1:9" hidden="1">
      <c r="A937" s="334"/>
      <c r="B937" s="335">
        <v>2</v>
      </c>
      <c r="C937" s="336" t="s">
        <v>511</v>
      </c>
      <c r="D937" s="336" t="s">
        <v>5</v>
      </c>
      <c r="E937" s="336"/>
      <c r="F937" s="338">
        <f>[2]Hardas!$E$13</f>
        <v>82000</v>
      </c>
      <c r="G937" s="338">
        <f>F937*B937</f>
        <v>164000</v>
      </c>
      <c r="H937" s="338"/>
      <c r="I937" s="339"/>
    </row>
    <row r="938" spans="1:9" hidden="1">
      <c r="A938" s="334"/>
      <c r="B938" s="335">
        <v>0.6</v>
      </c>
      <c r="C938" s="336" t="s">
        <v>511</v>
      </c>
      <c r="D938" s="336" t="s">
        <v>6</v>
      </c>
      <c r="E938" s="336"/>
      <c r="F938" s="338">
        <f>[2]Hardas!$E$21</f>
        <v>59000</v>
      </c>
      <c r="G938" s="338">
        <f>F938*B938</f>
        <v>35400</v>
      </c>
      <c r="H938" s="338"/>
      <c r="I938" s="339"/>
    </row>
    <row r="939" spans="1:9" hidden="1">
      <c r="A939" s="329"/>
      <c r="B939" s="330"/>
      <c r="C939" s="331"/>
      <c r="D939" s="331"/>
      <c r="E939" s="331" t="s">
        <v>405</v>
      </c>
      <c r="F939" s="332"/>
      <c r="G939" s="332"/>
      <c r="H939" s="332"/>
      <c r="I939" s="333">
        <f>SUM(G935:G939)</f>
        <v>220600</v>
      </c>
    </row>
    <row r="940" spans="1:9" hidden="1">
      <c r="A940" s="334"/>
      <c r="B940" s="335"/>
      <c r="C940" s="336"/>
      <c r="D940" s="336"/>
      <c r="E940" s="336"/>
      <c r="F940" s="338"/>
      <c r="G940" s="338"/>
      <c r="H940" s="338"/>
      <c r="I940" s="339"/>
    </row>
    <row r="941" spans="1:9" hidden="1">
      <c r="A941" s="334"/>
      <c r="B941" s="335">
        <v>6</v>
      </c>
      <c r="C941" s="336" t="s">
        <v>30</v>
      </c>
      <c r="D941" s="336" t="s">
        <v>31</v>
      </c>
      <c r="E941" s="336"/>
      <c r="F941" s="338">
        <f>[2]Hardas!$E$71</f>
        <v>70360</v>
      </c>
      <c r="G941" s="338"/>
      <c r="H941" s="338">
        <f t="shared" ref="H941:H948" si="12">F941*B941</f>
        <v>422160</v>
      </c>
      <c r="I941" s="339"/>
    </row>
    <row r="942" spans="1:9" hidden="1">
      <c r="A942" s="334"/>
      <c r="B942" s="335">
        <v>1.92</v>
      </c>
      <c r="C942" s="336" t="s">
        <v>23</v>
      </c>
      <c r="D942" s="336" t="s">
        <v>516</v>
      </c>
      <c r="E942" s="336"/>
      <c r="F942" s="338">
        <f>[2]Hardas!$E$120</f>
        <v>1400000</v>
      </c>
      <c r="G942" s="338"/>
      <c r="H942" s="338">
        <f t="shared" si="12"/>
        <v>2688000</v>
      </c>
      <c r="I942" s="339"/>
    </row>
    <row r="943" spans="1:9" hidden="1">
      <c r="A943" s="334"/>
      <c r="B943" s="335">
        <v>0.65</v>
      </c>
      <c r="C943" s="336" t="s">
        <v>23</v>
      </c>
      <c r="D943" s="336" t="s">
        <v>523</v>
      </c>
      <c r="E943" s="336"/>
      <c r="F943" s="338">
        <f>[2]Hardas!$E$152</f>
        <v>465450</v>
      </c>
      <c r="G943" s="338"/>
      <c r="H943" s="338">
        <f t="shared" si="12"/>
        <v>302542.5</v>
      </c>
      <c r="I943" s="339"/>
    </row>
    <row r="944" spans="1:9" hidden="1">
      <c r="A944" s="334"/>
      <c r="B944" s="335">
        <v>1</v>
      </c>
      <c r="C944" s="336" t="s">
        <v>433</v>
      </c>
      <c r="D944" s="336" t="s">
        <v>513</v>
      </c>
      <c r="E944" s="336"/>
      <c r="F944" s="338">
        <f>[2]Hardas!$E$193</f>
        <v>195450</v>
      </c>
      <c r="G944" s="338"/>
      <c r="H944" s="338">
        <f t="shared" si="12"/>
        <v>195450</v>
      </c>
      <c r="I944" s="339"/>
    </row>
    <row r="945" spans="1:9" hidden="1">
      <c r="A945" s="334"/>
      <c r="B945" s="335">
        <v>4</v>
      </c>
      <c r="C945" s="336" t="s">
        <v>433</v>
      </c>
      <c r="D945" s="336" t="s">
        <v>517</v>
      </c>
      <c r="E945" s="336"/>
      <c r="F945" s="338">
        <f>[2]Hardas!$E$200</f>
        <v>50000</v>
      </c>
      <c r="G945" s="338"/>
      <c r="H945" s="338">
        <f t="shared" si="12"/>
        <v>200000</v>
      </c>
      <c r="I945" s="339"/>
    </row>
    <row r="946" spans="1:9" hidden="1">
      <c r="A946" s="334"/>
      <c r="B946" s="335">
        <v>1</v>
      </c>
      <c r="C946" s="336" t="s">
        <v>7</v>
      </c>
      <c r="D946" s="336" t="s">
        <v>518</v>
      </c>
      <c r="E946" s="336"/>
      <c r="F946" s="338">
        <f>[2]Hardas!$E$60</f>
        <v>10500</v>
      </c>
      <c r="G946" s="338"/>
      <c r="H946" s="338">
        <f t="shared" si="12"/>
        <v>10500</v>
      </c>
      <c r="I946" s="339"/>
    </row>
    <row r="947" spans="1:9" hidden="1">
      <c r="A947" s="334"/>
      <c r="B947" s="335">
        <v>0.5</v>
      </c>
      <c r="C947" s="336" t="s">
        <v>7</v>
      </c>
      <c r="D947" s="336" t="s">
        <v>519</v>
      </c>
      <c r="E947" s="336"/>
      <c r="F947" s="338">
        <f>[2]Hardas!$E$92</f>
        <v>33000</v>
      </c>
      <c r="G947" s="338"/>
      <c r="H947" s="338">
        <f t="shared" si="12"/>
        <v>16500</v>
      </c>
      <c r="I947" s="339"/>
    </row>
    <row r="948" spans="1:9" hidden="1">
      <c r="A948" s="334"/>
      <c r="B948" s="335">
        <v>0.52</v>
      </c>
      <c r="C948" s="336" t="s">
        <v>7</v>
      </c>
      <c r="D948" s="336" t="s">
        <v>32</v>
      </c>
      <c r="E948" s="336"/>
      <c r="F948" s="338">
        <f>[2]Hardas!$E$93</f>
        <v>39500</v>
      </c>
      <c r="G948" s="338"/>
      <c r="H948" s="338">
        <f t="shared" si="12"/>
        <v>20540</v>
      </c>
      <c r="I948" s="339"/>
    </row>
    <row r="949" spans="1:9" hidden="1">
      <c r="A949" s="329"/>
      <c r="B949" s="330"/>
      <c r="C949" s="331"/>
      <c r="D949" s="331"/>
      <c r="E949" s="331" t="s">
        <v>410</v>
      </c>
      <c r="F949" s="332"/>
      <c r="G949" s="332"/>
      <c r="H949" s="332"/>
      <c r="I949" s="333">
        <f>SUM(H941:H949)</f>
        <v>3855692.5</v>
      </c>
    </row>
    <row r="950" spans="1:9" hidden="1">
      <c r="A950" s="334"/>
      <c r="B950" s="335"/>
      <c r="C950" s="336"/>
      <c r="D950" s="336"/>
      <c r="E950" s="336"/>
      <c r="F950" s="338"/>
      <c r="G950" s="338"/>
      <c r="H950" s="338"/>
      <c r="I950" s="339"/>
    </row>
    <row r="951" spans="1:9" hidden="1">
      <c r="A951" s="334"/>
      <c r="B951" s="335"/>
      <c r="C951" s="336"/>
      <c r="D951" s="336"/>
      <c r="E951" s="336"/>
      <c r="F951" s="338"/>
      <c r="G951" s="338"/>
      <c r="H951" s="338"/>
      <c r="I951" s="339"/>
    </row>
    <row r="952" spans="1:9" hidden="1">
      <c r="A952" s="334"/>
      <c r="B952" s="335"/>
      <c r="C952" s="336"/>
      <c r="D952" s="336"/>
      <c r="E952" s="336"/>
      <c r="F952" s="338"/>
      <c r="G952" s="338"/>
      <c r="H952" s="338"/>
      <c r="I952" s="339"/>
    </row>
    <row r="953" spans="1:9" hidden="1">
      <c r="A953" s="329"/>
      <c r="B953" s="330"/>
      <c r="C953" s="331"/>
      <c r="D953" s="331"/>
      <c r="E953" s="331" t="s">
        <v>411</v>
      </c>
      <c r="F953" s="332"/>
      <c r="G953" s="332"/>
      <c r="H953" s="332"/>
      <c r="I953" s="333"/>
    </row>
    <row r="954" spans="1:9" hidden="1">
      <c r="A954" s="329"/>
      <c r="B954" s="330"/>
      <c r="C954" s="331"/>
      <c r="D954" s="331" t="s">
        <v>412</v>
      </c>
      <c r="E954" s="331"/>
      <c r="F954" s="332"/>
      <c r="G954" s="332"/>
      <c r="H954" s="332"/>
      <c r="I954" s="333">
        <f>SUM(I935:I953)</f>
        <v>4076292.5</v>
      </c>
    </row>
    <row r="955" spans="1:9" hidden="1">
      <c r="A955" s="329"/>
      <c r="B955" s="330"/>
      <c r="C955" s="331"/>
      <c r="D955" s="331" t="s">
        <v>413</v>
      </c>
      <c r="E955" s="331"/>
      <c r="F955" s="332"/>
      <c r="G955" s="332"/>
      <c r="H955" s="332"/>
      <c r="I955" s="333">
        <f>I954*0.1</f>
        <v>407629.25</v>
      </c>
    </row>
    <row r="956" spans="1:9" hidden="1">
      <c r="A956" s="385"/>
      <c r="B956" s="361"/>
      <c r="C956" s="362"/>
      <c r="D956" s="363" t="s">
        <v>414</v>
      </c>
      <c r="E956" s="362"/>
      <c r="F956" s="364"/>
      <c r="G956" s="364"/>
      <c r="H956" s="364"/>
      <c r="I956" s="365">
        <f>ROUNDDOWN(I955+I954,0)</f>
        <v>4483921</v>
      </c>
    </row>
    <row r="957" spans="1:9" ht="13.5" hidden="1" thickBot="1">
      <c r="A957" s="386"/>
      <c r="B957" s="367"/>
      <c r="C957" s="368"/>
      <c r="D957" s="369"/>
      <c r="E957" s="368"/>
      <c r="F957" s="370"/>
      <c r="G957" s="370"/>
      <c r="H957" s="370"/>
      <c r="I957" s="371"/>
    </row>
    <row r="958" spans="1:9" ht="14.25" hidden="1" thickTop="1" thickBot="1">
      <c r="A958" s="309" t="s">
        <v>0</v>
      </c>
      <c r="B958" s="380" t="s">
        <v>397</v>
      </c>
      <c r="C958" s="310" t="s">
        <v>398</v>
      </c>
      <c r="D958" s="310" t="s">
        <v>1</v>
      </c>
      <c r="E958" s="311"/>
      <c r="F958" s="381" t="s">
        <v>399</v>
      </c>
      <c r="G958" s="381" t="s">
        <v>400</v>
      </c>
      <c r="H958" s="381" t="s">
        <v>401</v>
      </c>
      <c r="I958" s="382" t="s">
        <v>402</v>
      </c>
    </row>
    <row r="959" spans="1:9" ht="13.5" hidden="1" thickTop="1">
      <c r="A959" s="351">
        <v>51</v>
      </c>
      <c r="B959" s="352" t="s">
        <v>526</v>
      </c>
      <c r="C959" s="353"/>
      <c r="D959" s="353"/>
      <c r="E959" s="353"/>
      <c r="F959" s="354"/>
      <c r="G959" s="354"/>
      <c r="H959" s="354"/>
      <c r="I959" s="355"/>
    </row>
    <row r="960" spans="1:9" hidden="1">
      <c r="A960" s="334"/>
      <c r="B960" s="335">
        <v>0.04</v>
      </c>
      <c r="C960" s="336" t="s">
        <v>511</v>
      </c>
      <c r="D960" s="336" t="s">
        <v>3</v>
      </c>
      <c r="E960" s="336"/>
      <c r="F960" s="337">
        <f>[2]Hardas!$E$10</f>
        <v>100000</v>
      </c>
      <c r="G960" s="338">
        <f>F960*B960</f>
        <v>4000</v>
      </c>
      <c r="H960" s="338"/>
      <c r="I960" s="339"/>
    </row>
    <row r="961" spans="1:9" hidden="1">
      <c r="A961" s="334"/>
      <c r="B961" s="335">
        <v>0.3</v>
      </c>
      <c r="C961" s="336" t="s">
        <v>511</v>
      </c>
      <c r="D961" s="336" t="s">
        <v>4</v>
      </c>
      <c r="E961" s="336"/>
      <c r="F961" s="338">
        <f>[2]Hardas!$E$11</f>
        <v>91000</v>
      </c>
      <c r="G961" s="338">
        <f>F961*B961</f>
        <v>27300</v>
      </c>
      <c r="H961" s="338"/>
      <c r="I961" s="339"/>
    </row>
    <row r="962" spans="1:9" hidden="1">
      <c r="A962" s="334"/>
      <c r="B962" s="335">
        <v>4</v>
      </c>
      <c r="C962" s="336" t="s">
        <v>511</v>
      </c>
      <c r="D962" s="336" t="s">
        <v>10</v>
      </c>
      <c r="E962" s="336"/>
      <c r="F962" s="338">
        <f>[2]Hardas!$E$12</f>
        <v>82000</v>
      </c>
      <c r="G962" s="338">
        <f>F962*B962</f>
        <v>328000</v>
      </c>
      <c r="H962" s="338"/>
      <c r="I962" s="339"/>
    </row>
    <row r="963" spans="1:9" hidden="1">
      <c r="A963" s="334"/>
      <c r="B963" s="335">
        <v>0.8</v>
      </c>
      <c r="C963" s="336" t="s">
        <v>511</v>
      </c>
      <c r="D963" s="336" t="s">
        <v>6</v>
      </c>
      <c r="E963" s="336"/>
      <c r="F963" s="338">
        <f>[2]Hardas!$E$21</f>
        <v>59000</v>
      </c>
      <c r="G963" s="338">
        <f>F963*B963</f>
        <v>47200</v>
      </c>
      <c r="H963" s="338"/>
      <c r="I963" s="339"/>
    </row>
    <row r="964" spans="1:9" hidden="1">
      <c r="A964" s="329"/>
      <c r="B964" s="330"/>
      <c r="C964" s="331"/>
      <c r="D964" s="331"/>
      <c r="E964" s="331" t="s">
        <v>405</v>
      </c>
      <c r="F964" s="332"/>
      <c r="G964" s="332"/>
      <c r="H964" s="332"/>
      <c r="I964" s="333">
        <f>SUM(G960:G964)</f>
        <v>406500</v>
      </c>
    </row>
    <row r="965" spans="1:9" hidden="1">
      <c r="A965" s="334"/>
      <c r="B965" s="335"/>
      <c r="C965" s="336"/>
      <c r="D965" s="336"/>
      <c r="E965" s="336"/>
      <c r="F965" s="338"/>
      <c r="G965" s="338"/>
      <c r="H965" s="338"/>
      <c r="I965" s="339"/>
    </row>
    <row r="966" spans="1:9" hidden="1">
      <c r="A966" s="334"/>
      <c r="B966" s="335">
        <v>5</v>
      </c>
      <c r="C966" s="336" t="s">
        <v>30</v>
      </c>
      <c r="D966" s="336" t="s">
        <v>527</v>
      </c>
      <c r="E966" s="336"/>
      <c r="F966" s="338">
        <f>[2]Hardas!$E$63*22.5/6</f>
        <v>40218.75</v>
      </c>
      <c r="G966" s="338"/>
      <c r="H966" s="338">
        <f t="shared" ref="H966:H971" si="13">F966*B966</f>
        <v>201093.75</v>
      </c>
      <c r="I966" s="339"/>
    </row>
    <row r="967" spans="1:9" hidden="1">
      <c r="A967" s="334"/>
      <c r="B967" s="335">
        <v>3.57</v>
      </c>
      <c r="C967" s="336" t="s">
        <v>23</v>
      </c>
      <c r="D967" s="336" t="s">
        <v>33</v>
      </c>
      <c r="E967" s="336"/>
      <c r="F967" s="338">
        <f>[2]Hardas!$E$121</f>
        <v>675000</v>
      </c>
      <c r="G967" s="338"/>
      <c r="H967" s="338">
        <f t="shared" si="13"/>
        <v>2409750</v>
      </c>
      <c r="I967" s="339"/>
    </row>
    <row r="968" spans="1:9" hidden="1">
      <c r="A968" s="334"/>
      <c r="B968" s="335">
        <v>1</v>
      </c>
      <c r="C968" s="336" t="s">
        <v>34</v>
      </c>
      <c r="D968" s="336" t="s">
        <v>35</v>
      </c>
      <c r="E968" s="336"/>
      <c r="F968" s="338">
        <f>[2]Hardas!$E$196</f>
        <v>150000</v>
      </c>
      <c r="G968" s="338"/>
      <c r="H968" s="338">
        <f t="shared" si="13"/>
        <v>150000</v>
      </c>
      <c r="I968" s="339"/>
    </row>
    <row r="969" spans="1:9" hidden="1">
      <c r="A969" s="334"/>
      <c r="B969" s="335">
        <v>1</v>
      </c>
      <c r="C969" s="336" t="s">
        <v>34</v>
      </c>
      <c r="D969" s="336" t="s">
        <v>528</v>
      </c>
      <c r="E969" s="336"/>
      <c r="F969" s="338">
        <f>[2]Hardas!$E$202</f>
        <v>75000</v>
      </c>
      <c r="G969" s="338"/>
      <c r="H969" s="338">
        <f t="shared" si="13"/>
        <v>75000</v>
      </c>
      <c r="I969" s="339"/>
    </row>
    <row r="970" spans="1:9" hidden="1">
      <c r="A970" s="334"/>
      <c r="B970" s="335">
        <v>6</v>
      </c>
      <c r="C970" s="336" t="s">
        <v>34</v>
      </c>
      <c r="D970" s="336" t="s">
        <v>36</v>
      </c>
      <c r="E970" s="336"/>
      <c r="F970" s="338">
        <f>[2]Hardas!$E$203</f>
        <v>55000</v>
      </c>
      <c r="G970" s="338"/>
      <c r="H970" s="338">
        <f t="shared" si="13"/>
        <v>330000</v>
      </c>
      <c r="I970" s="339"/>
    </row>
    <row r="971" spans="1:9" hidden="1">
      <c r="A971" s="334"/>
      <c r="B971" s="335">
        <v>0.7</v>
      </c>
      <c r="C971" s="336" t="s">
        <v>20</v>
      </c>
      <c r="D971" s="336" t="s">
        <v>529</v>
      </c>
      <c r="E971" s="336"/>
      <c r="F971" s="338">
        <f>[2]Hardas!$E$79</f>
        <v>17500</v>
      </c>
      <c r="G971" s="338"/>
      <c r="H971" s="338">
        <f t="shared" si="13"/>
        <v>12250</v>
      </c>
      <c r="I971" s="339"/>
    </row>
    <row r="972" spans="1:9" hidden="1">
      <c r="A972" s="329"/>
      <c r="B972" s="330"/>
      <c r="C972" s="331"/>
      <c r="D972" s="331"/>
      <c r="E972" s="331" t="s">
        <v>410</v>
      </c>
      <c r="F972" s="332"/>
      <c r="G972" s="332"/>
      <c r="H972" s="332"/>
      <c r="I972" s="333">
        <f>SUM(H966:H972)</f>
        <v>3178093.75</v>
      </c>
    </row>
    <row r="973" spans="1:9" hidden="1">
      <c r="A973" s="334"/>
      <c r="B973" s="335"/>
      <c r="C973" s="336"/>
      <c r="D973" s="336"/>
      <c r="E973" s="336"/>
      <c r="F973" s="338"/>
      <c r="G973" s="338"/>
      <c r="H973" s="338"/>
      <c r="I973" s="339"/>
    </row>
    <row r="974" spans="1:9" hidden="1">
      <c r="A974" s="334"/>
      <c r="B974" s="335"/>
      <c r="C974" s="336"/>
      <c r="D974" s="336"/>
      <c r="E974" s="336"/>
      <c r="F974" s="338"/>
      <c r="G974" s="338"/>
      <c r="H974" s="338"/>
      <c r="I974" s="339"/>
    </row>
    <row r="975" spans="1:9" hidden="1">
      <c r="A975" s="334"/>
      <c r="B975" s="335"/>
      <c r="C975" s="336"/>
      <c r="D975" s="336"/>
      <c r="E975" s="336"/>
      <c r="F975" s="338"/>
      <c r="G975" s="338"/>
      <c r="H975" s="338"/>
      <c r="I975" s="339"/>
    </row>
    <row r="976" spans="1:9" hidden="1">
      <c r="A976" s="329"/>
      <c r="B976" s="330"/>
      <c r="C976" s="331"/>
      <c r="D976" s="331"/>
      <c r="E976" s="331" t="s">
        <v>411</v>
      </c>
      <c r="F976" s="332"/>
      <c r="G976" s="332"/>
      <c r="H976" s="332"/>
      <c r="I976" s="333"/>
    </row>
    <row r="977" spans="1:9" hidden="1">
      <c r="A977" s="329"/>
      <c r="B977" s="330"/>
      <c r="C977" s="331"/>
      <c r="D977" s="331" t="s">
        <v>412</v>
      </c>
      <c r="E977" s="331"/>
      <c r="F977" s="332"/>
      <c r="G977" s="332"/>
      <c r="H977" s="332"/>
      <c r="I977" s="333">
        <f>SUM(I960:I976)</f>
        <v>3584593.75</v>
      </c>
    </row>
    <row r="978" spans="1:9" hidden="1">
      <c r="A978" s="329"/>
      <c r="B978" s="330"/>
      <c r="C978" s="331"/>
      <c r="D978" s="331" t="s">
        <v>413</v>
      </c>
      <c r="E978" s="331"/>
      <c r="F978" s="332"/>
      <c r="G978" s="332"/>
      <c r="H978" s="332"/>
      <c r="I978" s="333">
        <f>I977*0.1</f>
        <v>358459.375</v>
      </c>
    </row>
    <row r="979" spans="1:9" hidden="1">
      <c r="A979" s="385"/>
      <c r="B979" s="361"/>
      <c r="C979" s="362"/>
      <c r="D979" s="363" t="s">
        <v>414</v>
      </c>
      <c r="E979" s="362"/>
      <c r="F979" s="364"/>
      <c r="G979" s="364"/>
      <c r="H979" s="364"/>
      <c r="I979" s="365">
        <f>ROUNDDOWN(I978+I977,0)</f>
        <v>3943053</v>
      </c>
    </row>
    <row r="980" spans="1:9" ht="13.5" hidden="1" thickBot="1">
      <c r="A980" s="386"/>
      <c r="B980" s="367"/>
      <c r="C980" s="368"/>
      <c r="D980" s="369"/>
      <c r="E980" s="368"/>
      <c r="F980" s="370"/>
      <c r="G980" s="370"/>
      <c r="H980" s="370"/>
      <c r="I980" s="371"/>
    </row>
    <row r="981" spans="1:9" ht="14.25" hidden="1" thickTop="1" thickBot="1">
      <c r="A981" s="309" t="s">
        <v>0</v>
      </c>
      <c r="B981" s="380" t="s">
        <v>397</v>
      </c>
      <c r="C981" s="310" t="s">
        <v>398</v>
      </c>
      <c r="D981" s="310" t="s">
        <v>1</v>
      </c>
      <c r="E981" s="311"/>
      <c r="F981" s="381" t="s">
        <v>399</v>
      </c>
      <c r="G981" s="381" t="s">
        <v>400</v>
      </c>
      <c r="H981" s="381" t="s">
        <v>401</v>
      </c>
      <c r="I981" s="382" t="s">
        <v>402</v>
      </c>
    </row>
    <row r="982" spans="1:9" ht="13.5" hidden="1" thickTop="1">
      <c r="A982" s="351">
        <v>52</v>
      </c>
      <c r="B982" s="352" t="s">
        <v>530</v>
      </c>
      <c r="C982" s="353"/>
      <c r="D982" s="353"/>
      <c r="E982" s="353"/>
      <c r="F982" s="354"/>
      <c r="G982" s="354"/>
      <c r="H982" s="354"/>
      <c r="I982" s="355"/>
    </row>
    <row r="983" spans="1:9" hidden="1">
      <c r="A983" s="334"/>
      <c r="B983" s="335">
        <v>0.04</v>
      </c>
      <c r="C983" s="336" t="s">
        <v>511</v>
      </c>
      <c r="D983" s="336" t="s">
        <v>3</v>
      </c>
      <c r="E983" s="336"/>
      <c r="F983" s="337">
        <f>[2]Hardas!$E$10</f>
        <v>100000</v>
      </c>
      <c r="G983" s="338">
        <f>F983*B983</f>
        <v>4000</v>
      </c>
      <c r="H983" s="338"/>
      <c r="I983" s="339"/>
    </row>
    <row r="984" spans="1:9" hidden="1">
      <c r="A984" s="334"/>
      <c r="B984" s="335">
        <v>0.3</v>
      </c>
      <c r="C984" s="336" t="s">
        <v>511</v>
      </c>
      <c r="D984" s="336" t="s">
        <v>4</v>
      </c>
      <c r="E984" s="336"/>
      <c r="F984" s="338">
        <f>[2]Hardas!$E$11</f>
        <v>91000</v>
      </c>
      <c r="G984" s="338">
        <f>F984*B984</f>
        <v>27300</v>
      </c>
      <c r="H984" s="338"/>
      <c r="I984" s="339"/>
    </row>
    <row r="985" spans="1:9" hidden="1">
      <c r="A985" s="334"/>
      <c r="B985" s="335">
        <v>4</v>
      </c>
      <c r="C985" s="336" t="s">
        <v>511</v>
      </c>
      <c r="D985" s="336" t="s">
        <v>10</v>
      </c>
      <c r="E985" s="336"/>
      <c r="F985" s="338">
        <f>[2]Hardas!$E$12</f>
        <v>82000</v>
      </c>
      <c r="G985" s="338">
        <f>F985*B985</f>
        <v>328000</v>
      </c>
      <c r="H985" s="338"/>
      <c r="I985" s="339"/>
    </row>
    <row r="986" spans="1:9" hidden="1">
      <c r="A986" s="334"/>
      <c r="B986" s="335">
        <v>0.8</v>
      </c>
      <c r="C986" s="336" t="s">
        <v>511</v>
      </c>
      <c r="D986" s="336" t="s">
        <v>6</v>
      </c>
      <c r="E986" s="336"/>
      <c r="F986" s="338">
        <f>[2]Hardas!$E$21</f>
        <v>59000</v>
      </c>
      <c r="G986" s="338">
        <f>F986*B986</f>
        <v>47200</v>
      </c>
      <c r="H986" s="338"/>
      <c r="I986" s="339"/>
    </row>
    <row r="987" spans="1:9" hidden="1">
      <c r="A987" s="329"/>
      <c r="B987" s="330"/>
      <c r="C987" s="331"/>
      <c r="D987" s="331"/>
      <c r="E987" s="331" t="s">
        <v>405</v>
      </c>
      <c r="F987" s="332"/>
      <c r="G987" s="332"/>
      <c r="H987" s="332"/>
      <c r="I987" s="333">
        <f>SUM(G983:G987)</f>
        <v>406500</v>
      </c>
    </row>
    <row r="988" spans="1:9" hidden="1">
      <c r="A988" s="334"/>
      <c r="B988" s="335"/>
      <c r="C988" s="336"/>
      <c r="D988" s="336"/>
      <c r="E988" s="336"/>
      <c r="F988" s="338"/>
      <c r="G988" s="338"/>
      <c r="H988" s="338"/>
      <c r="I988" s="339"/>
    </row>
    <row r="989" spans="1:9" hidden="1">
      <c r="A989" s="334"/>
      <c r="B989" s="335">
        <v>5.5</v>
      </c>
      <c r="C989" s="336" t="s">
        <v>30</v>
      </c>
      <c r="D989" s="336" t="s">
        <v>527</v>
      </c>
      <c r="E989" s="336"/>
      <c r="F989" s="338">
        <f>[2]Hardas!$E$63*22.5/6</f>
        <v>40218.75</v>
      </c>
      <c r="G989" s="338"/>
      <c r="H989" s="338">
        <f t="shared" ref="H989:H994" si="14">F989*B989</f>
        <v>221203.125</v>
      </c>
      <c r="I989" s="339"/>
    </row>
    <row r="990" spans="1:9" hidden="1">
      <c r="A990" s="334"/>
      <c r="B990" s="335">
        <v>5.46</v>
      </c>
      <c r="C990" s="336" t="s">
        <v>23</v>
      </c>
      <c r="D990" s="336" t="s">
        <v>33</v>
      </c>
      <c r="E990" s="336"/>
      <c r="F990" s="338">
        <f>[2]Hardas!$E$121</f>
        <v>675000</v>
      </c>
      <c r="G990" s="338"/>
      <c r="H990" s="338">
        <f t="shared" si="14"/>
        <v>3685500</v>
      </c>
      <c r="I990" s="339"/>
    </row>
    <row r="991" spans="1:9" hidden="1">
      <c r="A991" s="334"/>
      <c r="B991" s="335">
        <v>1</v>
      </c>
      <c r="C991" s="336" t="s">
        <v>34</v>
      </c>
      <c r="D991" s="336" t="s">
        <v>35</v>
      </c>
      <c r="E991" s="336"/>
      <c r="F991" s="338">
        <f>[2]Hardas!$E$196</f>
        <v>150000</v>
      </c>
      <c r="G991" s="338"/>
      <c r="H991" s="338">
        <f t="shared" si="14"/>
        <v>150000</v>
      </c>
      <c r="I991" s="339"/>
    </row>
    <row r="992" spans="1:9" hidden="1">
      <c r="A992" s="334"/>
      <c r="B992" s="335">
        <v>1</v>
      </c>
      <c r="C992" s="336" t="s">
        <v>34</v>
      </c>
      <c r="D992" s="336" t="s">
        <v>528</v>
      </c>
      <c r="E992" s="336"/>
      <c r="F992" s="338">
        <f>[2]Hardas!$E$202</f>
        <v>75000</v>
      </c>
      <c r="G992" s="338"/>
      <c r="H992" s="338">
        <f t="shared" si="14"/>
        <v>75000</v>
      </c>
      <c r="I992" s="339"/>
    </row>
    <row r="993" spans="1:9" hidden="1">
      <c r="A993" s="334"/>
      <c r="B993" s="335">
        <v>6</v>
      </c>
      <c r="C993" s="336" t="s">
        <v>34</v>
      </c>
      <c r="D993" s="336" t="s">
        <v>36</v>
      </c>
      <c r="E993" s="336"/>
      <c r="F993" s="338">
        <f>[2]Hardas!$E$203</f>
        <v>55000</v>
      </c>
      <c r="G993" s="338"/>
      <c r="H993" s="338">
        <f t="shared" si="14"/>
        <v>330000</v>
      </c>
      <c r="I993" s="339"/>
    </row>
    <row r="994" spans="1:9" hidden="1">
      <c r="A994" s="334"/>
      <c r="B994" s="335">
        <v>0.7</v>
      </c>
      <c r="C994" s="336" t="s">
        <v>20</v>
      </c>
      <c r="D994" s="336" t="s">
        <v>529</v>
      </c>
      <c r="E994" s="336"/>
      <c r="F994" s="338">
        <f>[2]Hardas!$E$79</f>
        <v>17500</v>
      </c>
      <c r="G994" s="338"/>
      <c r="H994" s="338">
        <f t="shared" si="14"/>
        <v>12250</v>
      </c>
      <c r="I994" s="339"/>
    </row>
    <row r="995" spans="1:9" hidden="1">
      <c r="A995" s="329"/>
      <c r="B995" s="330"/>
      <c r="C995" s="331"/>
      <c r="D995" s="331"/>
      <c r="E995" s="331" t="s">
        <v>410</v>
      </c>
      <c r="F995" s="332"/>
      <c r="G995" s="332"/>
      <c r="H995" s="332"/>
      <c r="I995" s="333">
        <f>SUM(H989:H995)</f>
        <v>4473953.125</v>
      </c>
    </row>
    <row r="996" spans="1:9" hidden="1">
      <c r="A996" s="334"/>
      <c r="B996" s="335"/>
      <c r="C996" s="336"/>
      <c r="D996" s="336"/>
      <c r="E996" s="336"/>
      <c r="F996" s="338"/>
      <c r="G996" s="338"/>
      <c r="H996" s="338"/>
      <c r="I996" s="339"/>
    </row>
    <row r="997" spans="1:9" hidden="1">
      <c r="A997" s="334"/>
      <c r="B997" s="335"/>
      <c r="C997" s="336"/>
      <c r="D997" s="336"/>
      <c r="E997" s="336"/>
      <c r="F997" s="338"/>
      <c r="G997" s="338"/>
      <c r="H997" s="338"/>
      <c r="I997" s="339"/>
    </row>
    <row r="998" spans="1:9" hidden="1">
      <c r="A998" s="329"/>
      <c r="B998" s="330"/>
      <c r="C998" s="331"/>
      <c r="D998" s="331"/>
      <c r="E998" s="331" t="s">
        <v>411</v>
      </c>
      <c r="F998" s="332"/>
      <c r="G998" s="332"/>
      <c r="H998" s="332"/>
      <c r="I998" s="333"/>
    </row>
    <row r="999" spans="1:9" hidden="1">
      <c r="A999" s="329"/>
      <c r="B999" s="330"/>
      <c r="C999" s="331"/>
      <c r="D999" s="331" t="s">
        <v>412</v>
      </c>
      <c r="E999" s="331"/>
      <c r="F999" s="332"/>
      <c r="G999" s="332"/>
      <c r="H999" s="332"/>
      <c r="I999" s="333">
        <f>SUM(I983:I998)</f>
        <v>4880453.125</v>
      </c>
    </row>
    <row r="1000" spans="1:9" hidden="1">
      <c r="A1000" s="329"/>
      <c r="B1000" s="330"/>
      <c r="C1000" s="331"/>
      <c r="D1000" s="331" t="s">
        <v>413</v>
      </c>
      <c r="E1000" s="331"/>
      <c r="F1000" s="332"/>
      <c r="G1000" s="332"/>
      <c r="H1000" s="332"/>
      <c r="I1000" s="333">
        <f>I999*0.1</f>
        <v>488045.3125</v>
      </c>
    </row>
    <row r="1001" spans="1:9" hidden="1">
      <c r="A1001" s="385"/>
      <c r="B1001" s="361"/>
      <c r="C1001" s="362"/>
      <c r="D1001" s="363" t="s">
        <v>414</v>
      </c>
      <c r="E1001" s="362"/>
      <c r="F1001" s="364"/>
      <c r="G1001" s="364"/>
      <c r="H1001" s="364"/>
      <c r="I1001" s="365">
        <f>ROUNDDOWN(I1000+I999,0)</f>
        <v>5368498</v>
      </c>
    </row>
    <row r="1002" spans="1:9" ht="13.5" hidden="1" thickBot="1">
      <c r="A1002" s="386"/>
      <c r="B1002" s="367"/>
      <c r="C1002" s="368"/>
      <c r="D1002" s="369"/>
      <c r="E1002" s="368"/>
      <c r="F1002" s="370"/>
      <c r="G1002" s="370"/>
      <c r="H1002" s="370"/>
      <c r="I1002" s="371"/>
    </row>
    <row r="1003" spans="1:9" ht="14.25" hidden="1" thickTop="1" thickBot="1">
      <c r="A1003" s="309" t="s">
        <v>0</v>
      </c>
      <c r="B1003" s="380" t="s">
        <v>397</v>
      </c>
      <c r="C1003" s="310" t="s">
        <v>398</v>
      </c>
      <c r="D1003" s="310" t="s">
        <v>1</v>
      </c>
      <c r="E1003" s="311"/>
      <c r="F1003" s="381" t="s">
        <v>399</v>
      </c>
      <c r="G1003" s="381" t="s">
        <v>400</v>
      </c>
      <c r="H1003" s="381" t="s">
        <v>401</v>
      </c>
      <c r="I1003" s="382" t="s">
        <v>402</v>
      </c>
    </row>
    <row r="1004" spans="1:9" ht="13.5" hidden="1" thickTop="1">
      <c r="A1004" s="351">
        <v>53</v>
      </c>
      <c r="B1004" s="352" t="s">
        <v>531</v>
      </c>
      <c r="C1004" s="353"/>
      <c r="D1004" s="353"/>
      <c r="E1004" s="353"/>
      <c r="F1004" s="354"/>
      <c r="G1004" s="354"/>
      <c r="H1004" s="354"/>
      <c r="I1004" s="355"/>
    </row>
    <row r="1005" spans="1:9" hidden="1">
      <c r="A1005" s="334"/>
      <c r="B1005" s="335">
        <v>3.5000000000000003E-2</v>
      </c>
      <c r="C1005" s="336" t="s">
        <v>511</v>
      </c>
      <c r="D1005" s="336" t="s">
        <v>3</v>
      </c>
      <c r="E1005" s="336"/>
      <c r="F1005" s="337">
        <f>[2]Hardas!$E$10</f>
        <v>100000</v>
      </c>
      <c r="G1005" s="338">
        <f>F1005*B1005</f>
        <v>3500.0000000000005</v>
      </c>
      <c r="H1005" s="338"/>
      <c r="I1005" s="339"/>
    </row>
    <row r="1006" spans="1:9" hidden="1">
      <c r="A1006" s="334"/>
      <c r="B1006" s="335">
        <v>0.27</v>
      </c>
      <c r="C1006" s="336" t="s">
        <v>511</v>
      </c>
      <c r="D1006" s="336" t="s">
        <v>4</v>
      </c>
      <c r="E1006" s="336"/>
      <c r="F1006" s="338">
        <f>[2]Hardas!$E$11</f>
        <v>91000</v>
      </c>
      <c r="G1006" s="338">
        <f>F1006*B1006</f>
        <v>24570</v>
      </c>
      <c r="H1006" s="338"/>
      <c r="I1006" s="339"/>
    </row>
    <row r="1007" spans="1:9" hidden="1">
      <c r="A1007" s="334"/>
      <c r="B1007" s="335">
        <v>3</v>
      </c>
      <c r="C1007" s="336" t="s">
        <v>511</v>
      </c>
      <c r="D1007" s="336" t="s">
        <v>10</v>
      </c>
      <c r="E1007" s="336"/>
      <c r="F1007" s="338">
        <f>[2]Hardas!$E$12</f>
        <v>82000</v>
      </c>
      <c r="G1007" s="338">
        <f>F1007*B1007</f>
        <v>246000</v>
      </c>
      <c r="H1007" s="338"/>
      <c r="I1007" s="339"/>
    </row>
    <row r="1008" spans="1:9" hidden="1">
      <c r="A1008" s="334"/>
      <c r="B1008" s="335">
        <v>0.6</v>
      </c>
      <c r="C1008" s="336" t="s">
        <v>511</v>
      </c>
      <c r="D1008" s="336" t="s">
        <v>6</v>
      </c>
      <c r="E1008" s="336"/>
      <c r="F1008" s="338">
        <f>[2]Hardas!$E$21</f>
        <v>59000</v>
      </c>
      <c r="G1008" s="338">
        <f>F1008*B1008</f>
        <v>35400</v>
      </c>
      <c r="H1008" s="338"/>
      <c r="I1008" s="339"/>
    </row>
    <row r="1009" spans="1:9" hidden="1">
      <c r="A1009" s="329"/>
      <c r="B1009" s="330"/>
      <c r="C1009" s="331"/>
      <c r="D1009" s="331"/>
      <c r="E1009" s="331" t="s">
        <v>405</v>
      </c>
      <c r="F1009" s="332"/>
      <c r="G1009" s="332"/>
      <c r="H1009" s="332"/>
      <c r="I1009" s="333">
        <f>SUM(G1005:G1009)</f>
        <v>309470</v>
      </c>
    </row>
    <row r="1010" spans="1:9" hidden="1">
      <c r="A1010" s="334"/>
      <c r="B1010" s="335"/>
      <c r="C1010" s="336"/>
      <c r="D1010" s="336"/>
      <c r="E1010" s="336"/>
      <c r="F1010" s="338"/>
      <c r="G1010" s="338"/>
      <c r="H1010" s="338"/>
      <c r="I1010" s="339"/>
    </row>
    <row r="1011" spans="1:9" hidden="1">
      <c r="A1011" s="334"/>
      <c r="B1011" s="335">
        <v>14.7</v>
      </c>
      <c r="C1011" s="336" t="s">
        <v>30</v>
      </c>
      <c r="D1011" s="336" t="s">
        <v>31</v>
      </c>
      <c r="E1011" s="336"/>
      <c r="F1011" s="338">
        <f>[2]Hardas!$E$71</f>
        <v>70360</v>
      </c>
      <c r="G1011" s="338"/>
      <c r="H1011" s="338">
        <f t="shared" ref="H1011:H1016" si="15">F1011*B1011</f>
        <v>1034292</v>
      </c>
      <c r="I1011" s="339"/>
    </row>
    <row r="1012" spans="1:9" hidden="1">
      <c r="A1012" s="334"/>
      <c r="B1012" s="335">
        <v>3.4740000000000002</v>
      </c>
      <c r="C1012" s="336" t="s">
        <v>23</v>
      </c>
      <c r="D1012" s="336" t="s">
        <v>523</v>
      </c>
      <c r="E1012" s="336"/>
      <c r="F1012" s="338">
        <f>[2]Hardas!$E$152</f>
        <v>465450</v>
      </c>
      <c r="G1012" s="338"/>
      <c r="H1012" s="338">
        <f t="shared" si="15"/>
        <v>1616973.3</v>
      </c>
      <c r="I1012" s="339"/>
    </row>
    <row r="1013" spans="1:9" hidden="1">
      <c r="A1013" s="334"/>
      <c r="B1013" s="335">
        <v>8</v>
      </c>
      <c r="C1013" s="336" t="s">
        <v>433</v>
      </c>
      <c r="D1013" s="336" t="s">
        <v>532</v>
      </c>
      <c r="E1013" s="336"/>
      <c r="F1013" s="338">
        <f>[2]Hardas!$E$204</f>
        <v>12500</v>
      </c>
      <c r="G1013" s="338"/>
      <c r="H1013" s="338">
        <f t="shared" si="15"/>
        <v>100000</v>
      </c>
      <c r="I1013" s="339"/>
    </row>
    <row r="1014" spans="1:9" hidden="1">
      <c r="A1014" s="334"/>
      <c r="B1014" s="335">
        <v>8</v>
      </c>
      <c r="C1014" s="336" t="s">
        <v>433</v>
      </c>
      <c r="D1014" s="336" t="s">
        <v>517</v>
      </c>
      <c r="E1014" s="336"/>
      <c r="F1014" s="338">
        <f>[2]Hardas!$E$200</f>
        <v>50000</v>
      </c>
      <c r="G1014" s="338"/>
      <c r="H1014" s="338">
        <f t="shared" si="15"/>
        <v>400000</v>
      </c>
      <c r="I1014" s="339"/>
    </row>
    <row r="1015" spans="1:9" hidden="1">
      <c r="A1015" s="334"/>
      <c r="B1015" s="335">
        <v>14.7</v>
      </c>
      <c r="C1015" s="336" t="s">
        <v>30</v>
      </c>
      <c r="D1015" s="336" t="s">
        <v>533</v>
      </c>
      <c r="E1015" s="336"/>
      <c r="F1015" s="338">
        <f>[2]Hardas!$E$94</f>
        <v>5450</v>
      </c>
      <c r="G1015" s="338"/>
      <c r="H1015" s="338">
        <f t="shared" si="15"/>
        <v>80115</v>
      </c>
      <c r="I1015" s="339"/>
    </row>
    <row r="1016" spans="1:9" hidden="1">
      <c r="A1016" s="334"/>
      <c r="B1016" s="335">
        <v>0.5</v>
      </c>
      <c r="C1016" s="336" t="s">
        <v>7</v>
      </c>
      <c r="D1016" s="336" t="s">
        <v>37</v>
      </c>
      <c r="E1016" s="336"/>
      <c r="F1016" s="338">
        <f>[2]Hardas!$E$95</f>
        <v>5450</v>
      </c>
      <c r="G1016" s="338"/>
      <c r="H1016" s="338">
        <f t="shared" si="15"/>
        <v>2725</v>
      </c>
      <c r="I1016" s="339"/>
    </row>
    <row r="1017" spans="1:9" hidden="1">
      <c r="A1017" s="329"/>
      <c r="B1017" s="330"/>
      <c r="C1017" s="331"/>
      <c r="D1017" s="331"/>
      <c r="E1017" s="331" t="s">
        <v>410</v>
      </c>
      <c r="F1017" s="332"/>
      <c r="G1017" s="332"/>
      <c r="H1017" s="332"/>
      <c r="I1017" s="333">
        <f>SUM(H1011:H1017)</f>
        <v>3234105.3</v>
      </c>
    </row>
    <row r="1018" spans="1:9" hidden="1">
      <c r="A1018" s="334"/>
      <c r="B1018" s="335"/>
      <c r="C1018" s="336"/>
      <c r="D1018" s="336"/>
      <c r="E1018" s="336"/>
      <c r="F1018" s="338"/>
      <c r="G1018" s="338"/>
      <c r="H1018" s="338"/>
      <c r="I1018" s="339"/>
    </row>
    <row r="1019" spans="1:9" hidden="1">
      <c r="A1019" s="334"/>
      <c r="B1019" s="335">
        <v>1</v>
      </c>
      <c r="C1019" s="336" t="s">
        <v>446</v>
      </c>
      <c r="D1019" s="336" t="s">
        <v>534</v>
      </c>
      <c r="E1019" s="336"/>
      <c r="F1019" s="338">
        <f>I1017*0.5</f>
        <v>1617052.65</v>
      </c>
      <c r="G1019" s="338">
        <f>F1019*B1019</f>
        <v>1617052.65</v>
      </c>
      <c r="H1019" s="338"/>
      <c r="I1019" s="339"/>
    </row>
    <row r="1020" spans="1:9" hidden="1">
      <c r="A1020" s="329"/>
      <c r="B1020" s="330"/>
      <c r="C1020" s="331"/>
      <c r="D1020" s="331"/>
      <c r="E1020" s="331" t="s">
        <v>411</v>
      </c>
      <c r="F1020" s="332"/>
      <c r="G1020" s="332"/>
      <c r="H1020" s="332"/>
      <c r="I1020" s="333">
        <f>SUM(G1019:G1020)</f>
        <v>1617052.65</v>
      </c>
    </row>
    <row r="1021" spans="1:9" hidden="1">
      <c r="A1021" s="329"/>
      <c r="B1021" s="330"/>
      <c r="C1021" s="331"/>
      <c r="D1021" s="331" t="s">
        <v>412</v>
      </c>
      <c r="E1021" s="331"/>
      <c r="F1021" s="332"/>
      <c r="G1021" s="332"/>
      <c r="H1021" s="332"/>
      <c r="I1021" s="333">
        <f>SUM(I1005:I1020)</f>
        <v>5160627.9499999993</v>
      </c>
    </row>
    <row r="1022" spans="1:9" hidden="1">
      <c r="A1022" s="329"/>
      <c r="B1022" s="330"/>
      <c r="C1022" s="331"/>
      <c r="D1022" s="331" t="s">
        <v>413</v>
      </c>
      <c r="E1022" s="331"/>
      <c r="F1022" s="332"/>
      <c r="G1022" s="332"/>
      <c r="H1022" s="332"/>
      <c r="I1022" s="333">
        <f>I1021*0.1</f>
        <v>516062.79499999993</v>
      </c>
    </row>
    <row r="1023" spans="1:9" hidden="1">
      <c r="A1023" s="385"/>
      <c r="B1023" s="361"/>
      <c r="C1023" s="362"/>
      <c r="D1023" s="363" t="s">
        <v>414</v>
      </c>
      <c r="E1023" s="362"/>
      <c r="F1023" s="364"/>
      <c r="G1023" s="364"/>
      <c r="H1023" s="364"/>
      <c r="I1023" s="365">
        <f>ROUNDDOWN(I1022+I1021,0)</f>
        <v>5676690</v>
      </c>
    </row>
    <row r="1024" spans="1:9" ht="13.5" hidden="1" thickBot="1">
      <c r="A1024" s="386"/>
      <c r="B1024" s="367"/>
      <c r="C1024" s="368"/>
      <c r="D1024" s="369"/>
      <c r="E1024" s="368"/>
      <c r="F1024" s="370"/>
      <c r="G1024" s="370"/>
      <c r="H1024" s="370"/>
      <c r="I1024" s="371"/>
    </row>
    <row r="1025" spans="1:9" ht="14.25" hidden="1" thickTop="1" thickBot="1">
      <c r="A1025" s="309" t="s">
        <v>0</v>
      </c>
      <c r="B1025" s="380" t="s">
        <v>397</v>
      </c>
      <c r="C1025" s="310" t="s">
        <v>398</v>
      </c>
      <c r="D1025" s="310" t="s">
        <v>1</v>
      </c>
      <c r="E1025" s="311"/>
      <c r="F1025" s="381" t="s">
        <v>399</v>
      </c>
      <c r="G1025" s="381" t="s">
        <v>400</v>
      </c>
      <c r="H1025" s="381" t="s">
        <v>401</v>
      </c>
      <c r="I1025" s="382" t="s">
        <v>402</v>
      </c>
    </row>
    <row r="1026" spans="1:9" ht="13.5" hidden="1" thickTop="1">
      <c r="A1026" s="351">
        <v>54</v>
      </c>
      <c r="B1026" s="352" t="s">
        <v>535</v>
      </c>
      <c r="C1026" s="353"/>
      <c r="D1026" s="353"/>
      <c r="E1026" s="353"/>
      <c r="F1026" s="354"/>
      <c r="G1026" s="354"/>
      <c r="H1026" s="354"/>
      <c r="I1026" s="355"/>
    </row>
    <row r="1027" spans="1:9" hidden="1">
      <c r="A1027" s="334"/>
      <c r="B1027" s="335">
        <v>3.5000000000000003E-2</v>
      </c>
      <c r="C1027" s="336" t="s">
        <v>511</v>
      </c>
      <c r="D1027" s="336" t="s">
        <v>3</v>
      </c>
      <c r="E1027" s="336"/>
      <c r="F1027" s="337">
        <f>[2]Hardas!$E$10</f>
        <v>100000</v>
      </c>
      <c r="G1027" s="338">
        <f>F1027*B1027</f>
        <v>3500.0000000000005</v>
      </c>
      <c r="H1027" s="338"/>
      <c r="I1027" s="339"/>
    </row>
    <row r="1028" spans="1:9" hidden="1">
      <c r="A1028" s="334"/>
      <c r="B1028" s="335">
        <v>0.27</v>
      </c>
      <c r="C1028" s="336" t="s">
        <v>511</v>
      </c>
      <c r="D1028" s="336" t="s">
        <v>4</v>
      </c>
      <c r="E1028" s="336"/>
      <c r="F1028" s="338">
        <f>[2]Hardas!$E$11</f>
        <v>91000</v>
      </c>
      <c r="G1028" s="338">
        <f>F1028*B1028</f>
        <v>24570</v>
      </c>
      <c r="H1028" s="338"/>
      <c r="I1028" s="339"/>
    </row>
    <row r="1029" spans="1:9" hidden="1">
      <c r="A1029" s="334"/>
      <c r="B1029" s="335">
        <v>3</v>
      </c>
      <c r="C1029" s="336" t="s">
        <v>511</v>
      </c>
      <c r="D1029" s="336" t="s">
        <v>10</v>
      </c>
      <c r="E1029" s="336"/>
      <c r="F1029" s="338">
        <f>[2]Hardas!$E$12</f>
        <v>82000</v>
      </c>
      <c r="G1029" s="338">
        <f>F1029*B1029</f>
        <v>246000</v>
      </c>
      <c r="H1029" s="338"/>
      <c r="I1029" s="339"/>
    </row>
    <row r="1030" spans="1:9" hidden="1">
      <c r="A1030" s="334"/>
      <c r="B1030" s="335">
        <v>0.6</v>
      </c>
      <c r="C1030" s="336" t="s">
        <v>511</v>
      </c>
      <c r="D1030" s="336" t="s">
        <v>6</v>
      </c>
      <c r="E1030" s="336"/>
      <c r="F1030" s="338">
        <f>[2]Hardas!$E$21</f>
        <v>59000</v>
      </c>
      <c r="G1030" s="338">
        <f>F1030*B1030</f>
        <v>35400</v>
      </c>
      <c r="H1030" s="338"/>
      <c r="I1030" s="339"/>
    </row>
    <row r="1031" spans="1:9" hidden="1">
      <c r="A1031" s="329"/>
      <c r="B1031" s="330"/>
      <c r="C1031" s="331"/>
      <c r="D1031" s="331"/>
      <c r="E1031" s="331" t="s">
        <v>405</v>
      </c>
      <c r="F1031" s="332"/>
      <c r="G1031" s="332"/>
      <c r="H1031" s="332"/>
      <c r="I1031" s="333">
        <f>SUM(G1027:G1031)</f>
        <v>309470</v>
      </c>
    </row>
    <row r="1032" spans="1:9" hidden="1">
      <c r="A1032" s="334"/>
      <c r="B1032" s="335"/>
      <c r="C1032" s="336"/>
      <c r="D1032" s="336"/>
      <c r="E1032" s="336"/>
      <c r="F1032" s="338"/>
      <c r="G1032" s="338"/>
      <c r="H1032" s="338"/>
      <c r="I1032" s="339"/>
    </row>
    <row r="1033" spans="1:9" hidden="1">
      <c r="A1033" s="334"/>
      <c r="B1033" s="335">
        <v>14.7</v>
      </c>
      <c r="C1033" s="336" t="s">
        <v>30</v>
      </c>
      <c r="D1033" s="336" t="s">
        <v>31</v>
      </c>
      <c r="E1033" s="336"/>
      <c r="F1033" s="338">
        <f>[2]Hardas!$E$71</f>
        <v>70360</v>
      </c>
      <c r="G1033" s="338"/>
      <c r="H1033" s="338">
        <f t="shared" ref="H1033:H1038" si="16">F1033*B1033</f>
        <v>1034292</v>
      </c>
      <c r="I1033" s="339"/>
    </row>
    <row r="1034" spans="1:9" hidden="1">
      <c r="A1034" s="334"/>
      <c r="B1034" s="335">
        <v>3.4740000000000002</v>
      </c>
      <c r="C1034" s="336" t="s">
        <v>23</v>
      </c>
      <c r="D1034" s="336" t="s">
        <v>523</v>
      </c>
      <c r="E1034" s="336"/>
      <c r="F1034" s="338">
        <f>[2]Hardas!$E$152</f>
        <v>465450</v>
      </c>
      <c r="G1034" s="338"/>
      <c r="H1034" s="338">
        <f t="shared" si="16"/>
        <v>1616973.3</v>
      </c>
      <c r="I1034" s="339"/>
    </row>
    <row r="1035" spans="1:9" hidden="1">
      <c r="A1035" s="334"/>
      <c r="B1035" s="335">
        <v>4</v>
      </c>
      <c r="C1035" s="336" t="s">
        <v>433</v>
      </c>
      <c r="D1035" s="336" t="s">
        <v>532</v>
      </c>
      <c r="E1035" s="336"/>
      <c r="F1035" s="338">
        <f>[2]Hardas!$E$204</f>
        <v>12500</v>
      </c>
      <c r="G1035" s="338"/>
      <c r="H1035" s="338">
        <f t="shared" si="16"/>
        <v>50000</v>
      </c>
      <c r="I1035" s="339"/>
    </row>
    <row r="1036" spans="1:9" hidden="1">
      <c r="A1036" s="334"/>
      <c r="B1036" s="335">
        <v>4</v>
      </c>
      <c r="C1036" s="336" t="s">
        <v>433</v>
      </c>
      <c r="D1036" s="336" t="s">
        <v>517</v>
      </c>
      <c r="E1036" s="336"/>
      <c r="F1036" s="338">
        <f>[2]Hardas!$E$200</f>
        <v>50000</v>
      </c>
      <c r="G1036" s="338"/>
      <c r="H1036" s="338">
        <f t="shared" si="16"/>
        <v>200000</v>
      </c>
      <c r="I1036" s="339"/>
    </row>
    <row r="1037" spans="1:9" hidden="1">
      <c r="A1037" s="334"/>
      <c r="B1037" s="335">
        <v>14.7</v>
      </c>
      <c r="C1037" s="336" t="s">
        <v>30</v>
      </c>
      <c r="D1037" s="336" t="s">
        <v>533</v>
      </c>
      <c r="E1037" s="336"/>
      <c r="F1037" s="338">
        <f>[2]Hardas!$E$94</f>
        <v>5450</v>
      </c>
      <c r="G1037" s="338"/>
      <c r="H1037" s="338">
        <f t="shared" si="16"/>
        <v>80115</v>
      </c>
      <c r="I1037" s="339"/>
    </row>
    <row r="1038" spans="1:9" hidden="1">
      <c r="A1038" s="334"/>
      <c r="B1038" s="335">
        <v>0.5</v>
      </c>
      <c r="C1038" s="336" t="s">
        <v>7</v>
      </c>
      <c r="D1038" s="336" t="s">
        <v>37</v>
      </c>
      <c r="E1038" s="336"/>
      <c r="F1038" s="338">
        <f>[2]Hardas!$E$95</f>
        <v>5450</v>
      </c>
      <c r="G1038" s="338"/>
      <c r="H1038" s="338">
        <f t="shared" si="16"/>
        <v>2725</v>
      </c>
      <c r="I1038" s="339"/>
    </row>
    <row r="1039" spans="1:9" hidden="1">
      <c r="A1039" s="329"/>
      <c r="B1039" s="330"/>
      <c r="C1039" s="331"/>
      <c r="D1039" s="331"/>
      <c r="E1039" s="331" t="s">
        <v>410</v>
      </c>
      <c r="F1039" s="332"/>
      <c r="G1039" s="332"/>
      <c r="H1039" s="332"/>
      <c r="I1039" s="333">
        <f>SUM(H1033:H1039)</f>
        <v>2984105.3</v>
      </c>
    </row>
    <row r="1040" spans="1:9" hidden="1">
      <c r="A1040" s="334"/>
      <c r="B1040" s="335"/>
      <c r="C1040" s="336"/>
      <c r="D1040" s="336"/>
      <c r="E1040" s="336"/>
      <c r="F1040" s="338"/>
      <c r="G1040" s="338"/>
      <c r="H1040" s="338"/>
      <c r="I1040" s="339"/>
    </row>
    <row r="1041" spans="1:9" hidden="1">
      <c r="A1041" s="334"/>
      <c r="B1041" s="335"/>
      <c r="C1041" s="336"/>
      <c r="D1041" s="336"/>
      <c r="E1041" s="336"/>
      <c r="F1041" s="338"/>
      <c r="G1041" s="338"/>
      <c r="H1041" s="338"/>
      <c r="I1041" s="339"/>
    </row>
    <row r="1042" spans="1:9" hidden="1">
      <c r="A1042" s="334"/>
      <c r="B1042" s="335"/>
      <c r="C1042" s="336"/>
      <c r="D1042" s="336"/>
      <c r="E1042" s="336"/>
      <c r="F1042" s="338"/>
      <c r="G1042" s="338"/>
      <c r="H1042" s="338"/>
      <c r="I1042" s="339"/>
    </row>
    <row r="1043" spans="1:9" hidden="1">
      <c r="A1043" s="329"/>
      <c r="B1043" s="330"/>
      <c r="C1043" s="331"/>
      <c r="D1043" s="331"/>
      <c r="E1043" s="331" t="s">
        <v>411</v>
      </c>
      <c r="F1043" s="332"/>
      <c r="G1043" s="332"/>
      <c r="H1043" s="332"/>
      <c r="I1043" s="333"/>
    </row>
    <row r="1044" spans="1:9" hidden="1">
      <c r="A1044" s="329"/>
      <c r="B1044" s="330"/>
      <c r="C1044" s="331"/>
      <c r="D1044" s="331" t="s">
        <v>412</v>
      </c>
      <c r="E1044" s="331"/>
      <c r="F1044" s="332"/>
      <c r="G1044" s="332"/>
      <c r="H1044" s="332"/>
      <c r="I1044" s="333">
        <f>SUM(I1027:I1043)</f>
        <v>3293575.3</v>
      </c>
    </row>
    <row r="1045" spans="1:9" hidden="1">
      <c r="A1045" s="329"/>
      <c r="B1045" s="330"/>
      <c r="C1045" s="331"/>
      <c r="D1045" s="331" t="s">
        <v>413</v>
      </c>
      <c r="E1045" s="331"/>
      <c r="F1045" s="332"/>
      <c r="G1045" s="332"/>
      <c r="H1045" s="332"/>
      <c r="I1045" s="333">
        <f>I1044*0.1</f>
        <v>329357.53000000003</v>
      </c>
    </row>
    <row r="1046" spans="1:9" hidden="1">
      <c r="A1046" s="329"/>
      <c r="B1046" s="330"/>
      <c r="C1046" s="357"/>
      <c r="D1046" s="331" t="s">
        <v>414</v>
      </c>
      <c r="E1046" s="357"/>
      <c r="F1046" s="358"/>
      <c r="G1046" s="358"/>
      <c r="H1046" s="358"/>
      <c r="I1046" s="333">
        <f>ROUNDDOWN(I1045+I1044,0)</f>
        <v>3622932</v>
      </c>
    </row>
    <row r="1047" spans="1:9" ht="13.5" hidden="1" thickBot="1">
      <c r="A1047" s="341"/>
      <c r="B1047" s="342"/>
      <c r="C1047" s="343"/>
      <c r="D1047" s="343"/>
      <c r="E1047" s="343"/>
      <c r="F1047" s="344"/>
      <c r="G1047" s="344"/>
      <c r="H1047" s="344"/>
      <c r="I1047" s="345"/>
    </row>
    <row r="1048" spans="1:9" ht="14.25" hidden="1" thickTop="1" thickBot="1">
      <c r="A1048" s="309" t="s">
        <v>0</v>
      </c>
      <c r="B1048" s="380" t="s">
        <v>397</v>
      </c>
      <c r="C1048" s="310" t="s">
        <v>398</v>
      </c>
      <c r="D1048" s="310" t="s">
        <v>1</v>
      </c>
      <c r="E1048" s="311"/>
      <c r="F1048" s="381" t="s">
        <v>399</v>
      </c>
      <c r="G1048" s="381" t="s">
        <v>400</v>
      </c>
      <c r="H1048" s="381" t="s">
        <v>401</v>
      </c>
      <c r="I1048" s="382" t="s">
        <v>402</v>
      </c>
    </row>
    <row r="1049" spans="1:9" ht="13.5" hidden="1" thickTop="1">
      <c r="A1049" s="351">
        <v>55</v>
      </c>
      <c r="B1049" s="352" t="s">
        <v>536</v>
      </c>
      <c r="C1049" s="353"/>
      <c r="D1049" s="353"/>
      <c r="E1049" s="353"/>
      <c r="F1049" s="354"/>
      <c r="G1049" s="354"/>
      <c r="H1049" s="354"/>
      <c r="I1049" s="355"/>
    </row>
    <row r="1050" spans="1:9" hidden="1">
      <c r="A1050" s="334"/>
      <c r="B1050" s="335">
        <v>3.5000000000000003E-2</v>
      </c>
      <c r="C1050" s="336" t="s">
        <v>511</v>
      </c>
      <c r="D1050" s="336" t="s">
        <v>3</v>
      </c>
      <c r="E1050" s="336"/>
      <c r="F1050" s="337">
        <f>[2]Hardas!$E$10</f>
        <v>100000</v>
      </c>
      <c r="G1050" s="338">
        <f>F1050*B1050</f>
        <v>3500.0000000000005</v>
      </c>
      <c r="H1050" s="338"/>
      <c r="I1050" s="339"/>
    </row>
    <row r="1051" spans="1:9" hidden="1">
      <c r="A1051" s="334"/>
      <c r="B1051" s="335">
        <v>0.27</v>
      </c>
      <c r="C1051" s="336" t="s">
        <v>511</v>
      </c>
      <c r="D1051" s="336" t="s">
        <v>4</v>
      </c>
      <c r="E1051" s="336"/>
      <c r="F1051" s="338">
        <f>[2]Hardas!$E$11</f>
        <v>91000</v>
      </c>
      <c r="G1051" s="338">
        <f>F1051*B1051</f>
        <v>24570</v>
      </c>
      <c r="H1051" s="338"/>
      <c r="I1051" s="339"/>
    </row>
    <row r="1052" spans="1:9" hidden="1">
      <c r="A1052" s="334"/>
      <c r="B1052" s="335">
        <v>3</v>
      </c>
      <c r="C1052" s="336" t="s">
        <v>511</v>
      </c>
      <c r="D1052" s="336" t="s">
        <v>10</v>
      </c>
      <c r="E1052" s="336"/>
      <c r="F1052" s="338">
        <f>[2]Hardas!$E$12</f>
        <v>82000</v>
      </c>
      <c r="G1052" s="338">
        <f>F1052*B1052</f>
        <v>246000</v>
      </c>
      <c r="H1052" s="338"/>
      <c r="I1052" s="339"/>
    </row>
    <row r="1053" spans="1:9" hidden="1">
      <c r="A1053" s="334"/>
      <c r="B1053" s="335">
        <v>0.6</v>
      </c>
      <c r="C1053" s="336" t="s">
        <v>511</v>
      </c>
      <c r="D1053" s="336" t="s">
        <v>6</v>
      </c>
      <c r="E1053" s="336"/>
      <c r="F1053" s="338">
        <f>[2]Hardas!$E$21</f>
        <v>59000</v>
      </c>
      <c r="G1053" s="338">
        <f>F1053*B1053</f>
        <v>35400</v>
      </c>
      <c r="H1053" s="338"/>
      <c r="I1053" s="339"/>
    </row>
    <row r="1054" spans="1:9" hidden="1">
      <c r="A1054" s="329"/>
      <c r="B1054" s="330"/>
      <c r="C1054" s="331"/>
      <c r="D1054" s="331"/>
      <c r="E1054" s="331" t="s">
        <v>405</v>
      </c>
      <c r="F1054" s="332"/>
      <c r="G1054" s="332"/>
      <c r="H1054" s="332"/>
      <c r="I1054" s="333">
        <f>SUM(G1050:G1054)</f>
        <v>309470</v>
      </c>
    </row>
    <row r="1055" spans="1:9" hidden="1">
      <c r="A1055" s="334"/>
      <c r="B1055" s="335"/>
      <c r="C1055" s="336"/>
      <c r="D1055" s="336"/>
      <c r="E1055" s="336"/>
      <c r="F1055" s="338"/>
      <c r="G1055" s="338"/>
      <c r="H1055" s="338"/>
      <c r="I1055" s="339"/>
    </row>
    <row r="1056" spans="1:9" hidden="1">
      <c r="A1056" s="334"/>
      <c r="B1056" s="335">
        <v>14.7</v>
      </c>
      <c r="C1056" s="336" t="s">
        <v>30</v>
      </c>
      <c r="D1056" s="336" t="s">
        <v>31</v>
      </c>
      <c r="E1056" s="336"/>
      <c r="F1056" s="338">
        <f>[2]Hardas!$E$71</f>
        <v>70360</v>
      </c>
      <c r="G1056" s="338"/>
      <c r="H1056" s="338">
        <f t="shared" ref="H1056:H1061" si="17">F1056*B1056</f>
        <v>1034292</v>
      </c>
      <c r="I1056" s="339"/>
    </row>
    <row r="1057" spans="1:9" hidden="1">
      <c r="A1057" s="334"/>
      <c r="B1057" s="335">
        <v>3.4740000000000002</v>
      </c>
      <c r="C1057" s="336" t="s">
        <v>23</v>
      </c>
      <c r="D1057" s="336" t="s">
        <v>523</v>
      </c>
      <c r="E1057" s="336"/>
      <c r="F1057" s="338">
        <f>[2]Hardas!$E$152</f>
        <v>465450</v>
      </c>
      <c r="G1057" s="338"/>
      <c r="H1057" s="338">
        <f t="shared" si="17"/>
        <v>1616973.3</v>
      </c>
      <c r="I1057" s="339"/>
    </row>
    <row r="1058" spans="1:9" hidden="1">
      <c r="A1058" s="334"/>
      <c r="B1058" s="335">
        <v>4</v>
      </c>
      <c r="C1058" s="336" t="s">
        <v>433</v>
      </c>
      <c r="D1058" s="336" t="s">
        <v>532</v>
      </c>
      <c r="E1058" s="336"/>
      <c r="F1058" s="338">
        <f>[2]Hardas!$E$204</f>
        <v>12500</v>
      </c>
      <c r="G1058" s="338"/>
      <c r="H1058" s="338">
        <f t="shared" si="17"/>
        <v>50000</v>
      </c>
      <c r="I1058" s="339"/>
    </row>
    <row r="1059" spans="1:9" hidden="1">
      <c r="A1059" s="334"/>
      <c r="B1059" s="335">
        <v>4</v>
      </c>
      <c r="C1059" s="336" t="s">
        <v>433</v>
      </c>
      <c r="D1059" s="336" t="s">
        <v>517</v>
      </c>
      <c r="E1059" s="336"/>
      <c r="F1059" s="338">
        <f>[2]Hardas!$E$200</f>
        <v>50000</v>
      </c>
      <c r="G1059" s="338"/>
      <c r="H1059" s="338">
        <f t="shared" si="17"/>
        <v>200000</v>
      </c>
      <c r="I1059" s="339"/>
    </row>
    <row r="1060" spans="1:9" hidden="1">
      <c r="A1060" s="334"/>
      <c r="B1060" s="335">
        <v>14.7</v>
      </c>
      <c r="C1060" s="336" t="s">
        <v>30</v>
      </c>
      <c r="D1060" s="336" t="s">
        <v>533</v>
      </c>
      <c r="E1060" s="336"/>
      <c r="F1060" s="338">
        <f>[2]Hardas!$E$94</f>
        <v>5450</v>
      </c>
      <c r="G1060" s="338"/>
      <c r="H1060" s="338">
        <f t="shared" si="17"/>
        <v>80115</v>
      </c>
      <c r="I1060" s="339"/>
    </row>
    <row r="1061" spans="1:9" hidden="1">
      <c r="A1061" s="334"/>
      <c r="B1061" s="335">
        <v>0.5</v>
      </c>
      <c r="C1061" s="336" t="s">
        <v>7</v>
      </c>
      <c r="D1061" s="336" t="s">
        <v>37</v>
      </c>
      <c r="E1061" s="336"/>
      <c r="F1061" s="338">
        <f>[2]Hardas!$E$95</f>
        <v>5450</v>
      </c>
      <c r="G1061" s="338"/>
      <c r="H1061" s="338">
        <f t="shared" si="17"/>
        <v>2725</v>
      </c>
      <c r="I1061" s="339"/>
    </row>
    <row r="1062" spans="1:9" hidden="1">
      <c r="A1062" s="329"/>
      <c r="B1062" s="330"/>
      <c r="C1062" s="331"/>
      <c r="D1062" s="331"/>
      <c r="E1062" s="331" t="s">
        <v>410</v>
      </c>
      <c r="F1062" s="332"/>
      <c r="G1062" s="332"/>
      <c r="H1062" s="332"/>
      <c r="I1062" s="333">
        <f>SUM(H1056:H1062)</f>
        <v>2984105.3</v>
      </c>
    </row>
    <row r="1063" spans="1:9" hidden="1">
      <c r="A1063" s="334"/>
      <c r="B1063" s="335"/>
      <c r="C1063" s="336"/>
      <c r="D1063" s="336"/>
      <c r="E1063" s="336"/>
      <c r="F1063" s="338"/>
      <c r="G1063" s="338"/>
      <c r="H1063" s="338"/>
      <c r="I1063" s="339"/>
    </row>
    <row r="1064" spans="1:9" hidden="1">
      <c r="A1064" s="334"/>
      <c r="B1064" s="335"/>
      <c r="C1064" s="336"/>
      <c r="D1064" s="336"/>
      <c r="E1064" s="336"/>
      <c r="F1064" s="338"/>
      <c r="G1064" s="338"/>
      <c r="H1064" s="338"/>
      <c r="I1064" s="339"/>
    </row>
    <row r="1065" spans="1:9" hidden="1">
      <c r="A1065" s="334"/>
      <c r="B1065" s="335"/>
      <c r="C1065" s="336"/>
      <c r="D1065" s="336"/>
      <c r="E1065" s="336"/>
      <c r="F1065" s="338"/>
      <c r="G1065" s="338"/>
      <c r="H1065" s="338"/>
      <c r="I1065" s="339"/>
    </row>
    <row r="1066" spans="1:9" hidden="1">
      <c r="A1066" s="329"/>
      <c r="B1066" s="330"/>
      <c r="C1066" s="331"/>
      <c r="D1066" s="331"/>
      <c r="E1066" s="331" t="s">
        <v>411</v>
      </c>
      <c r="F1066" s="332"/>
      <c r="G1066" s="332"/>
      <c r="H1066" s="332"/>
      <c r="I1066" s="333"/>
    </row>
    <row r="1067" spans="1:9" hidden="1">
      <c r="A1067" s="329"/>
      <c r="B1067" s="330"/>
      <c r="C1067" s="331"/>
      <c r="D1067" s="331" t="s">
        <v>412</v>
      </c>
      <c r="E1067" s="331"/>
      <c r="F1067" s="332"/>
      <c r="G1067" s="332"/>
      <c r="H1067" s="332"/>
      <c r="I1067" s="333">
        <f>SUM(I1050:I1066)</f>
        <v>3293575.3</v>
      </c>
    </row>
    <row r="1068" spans="1:9" hidden="1">
      <c r="A1068" s="329"/>
      <c r="B1068" s="330"/>
      <c r="C1068" s="331"/>
      <c r="D1068" s="331" t="s">
        <v>413</v>
      </c>
      <c r="E1068" s="331"/>
      <c r="F1068" s="332"/>
      <c r="G1068" s="332"/>
      <c r="H1068" s="332"/>
      <c r="I1068" s="333">
        <f>I1067*0.1</f>
        <v>329357.53000000003</v>
      </c>
    </row>
    <row r="1069" spans="1:9" hidden="1">
      <c r="A1069" s="329"/>
      <c r="B1069" s="330"/>
      <c r="C1069" s="357"/>
      <c r="D1069" s="331" t="s">
        <v>414</v>
      </c>
      <c r="E1069" s="357"/>
      <c r="F1069" s="358"/>
      <c r="G1069" s="358"/>
      <c r="H1069" s="358"/>
      <c r="I1069" s="333">
        <f>ROUNDDOWN(I1068+I1067,0)</f>
        <v>3622932</v>
      </c>
    </row>
    <row r="1070" spans="1:9" ht="13.5" hidden="1" thickBot="1">
      <c r="A1070" s="341"/>
      <c r="B1070" s="342"/>
      <c r="C1070" s="343"/>
      <c r="D1070" s="343"/>
      <c r="E1070" s="343"/>
      <c r="F1070" s="344"/>
      <c r="G1070" s="344"/>
      <c r="H1070" s="344"/>
      <c r="I1070" s="345"/>
    </row>
    <row r="1071" spans="1:9" ht="14.25" hidden="1" thickTop="1" thickBot="1">
      <c r="A1071" s="309" t="s">
        <v>0</v>
      </c>
      <c r="B1071" s="380" t="s">
        <v>397</v>
      </c>
      <c r="C1071" s="310" t="s">
        <v>398</v>
      </c>
      <c r="D1071" s="310" t="s">
        <v>1</v>
      </c>
      <c r="E1071" s="311"/>
      <c r="F1071" s="381" t="s">
        <v>399</v>
      </c>
      <c r="G1071" s="381" t="s">
        <v>400</v>
      </c>
      <c r="H1071" s="381" t="s">
        <v>401</v>
      </c>
      <c r="I1071" s="382" t="s">
        <v>402</v>
      </c>
    </row>
    <row r="1072" spans="1:9" ht="13.5" hidden="1" thickTop="1">
      <c r="A1072" s="351">
        <v>56</v>
      </c>
      <c r="B1072" s="352" t="s">
        <v>537</v>
      </c>
      <c r="C1072" s="353"/>
      <c r="D1072" s="353"/>
      <c r="E1072" s="353"/>
      <c r="F1072" s="354"/>
      <c r="G1072" s="354"/>
      <c r="H1072" s="354"/>
      <c r="I1072" s="355"/>
    </row>
    <row r="1073" spans="1:9" hidden="1">
      <c r="A1073" s="334"/>
      <c r="B1073" s="335">
        <v>3.5000000000000003E-2</v>
      </c>
      <c r="C1073" s="336" t="s">
        <v>511</v>
      </c>
      <c r="D1073" s="336" t="s">
        <v>3</v>
      </c>
      <c r="E1073" s="336"/>
      <c r="F1073" s="337">
        <f>[2]Hardas!$E$10</f>
        <v>100000</v>
      </c>
      <c r="G1073" s="338">
        <f>F1073*B1073</f>
        <v>3500.0000000000005</v>
      </c>
      <c r="H1073" s="338"/>
      <c r="I1073" s="339"/>
    </row>
    <row r="1074" spans="1:9" hidden="1">
      <c r="A1074" s="334"/>
      <c r="B1074" s="335">
        <v>0.27</v>
      </c>
      <c r="C1074" s="336" t="s">
        <v>511</v>
      </c>
      <c r="D1074" s="336" t="s">
        <v>4</v>
      </c>
      <c r="E1074" s="336"/>
      <c r="F1074" s="338">
        <f>[2]Hardas!$E$11</f>
        <v>91000</v>
      </c>
      <c r="G1074" s="338">
        <f>F1074*B1074</f>
        <v>24570</v>
      </c>
      <c r="H1074" s="338"/>
      <c r="I1074" s="339"/>
    </row>
    <row r="1075" spans="1:9" hidden="1">
      <c r="A1075" s="334"/>
      <c r="B1075" s="335">
        <v>3</v>
      </c>
      <c r="C1075" s="336" t="s">
        <v>511</v>
      </c>
      <c r="D1075" s="336" t="s">
        <v>10</v>
      </c>
      <c r="E1075" s="336"/>
      <c r="F1075" s="338">
        <f>[2]Hardas!$E$12</f>
        <v>82000</v>
      </c>
      <c r="G1075" s="338">
        <f>F1075*B1075</f>
        <v>246000</v>
      </c>
      <c r="H1075" s="338"/>
      <c r="I1075" s="339"/>
    </row>
    <row r="1076" spans="1:9" hidden="1">
      <c r="A1076" s="334"/>
      <c r="B1076" s="335">
        <v>0.6</v>
      </c>
      <c r="C1076" s="336" t="s">
        <v>511</v>
      </c>
      <c r="D1076" s="336" t="s">
        <v>6</v>
      </c>
      <c r="E1076" s="336"/>
      <c r="F1076" s="338">
        <f>[2]Hardas!$E$21</f>
        <v>59000</v>
      </c>
      <c r="G1076" s="338">
        <f>F1076*B1076</f>
        <v>35400</v>
      </c>
      <c r="H1076" s="338"/>
      <c r="I1076" s="339"/>
    </row>
    <row r="1077" spans="1:9" hidden="1">
      <c r="A1077" s="329"/>
      <c r="B1077" s="330"/>
      <c r="C1077" s="331"/>
      <c r="D1077" s="331"/>
      <c r="E1077" s="331" t="s">
        <v>405</v>
      </c>
      <c r="F1077" s="332"/>
      <c r="G1077" s="332"/>
      <c r="H1077" s="332"/>
      <c r="I1077" s="333">
        <f>SUM(G1073:G1077)</f>
        <v>309470</v>
      </c>
    </row>
    <row r="1078" spans="1:9" hidden="1">
      <c r="A1078" s="334"/>
      <c r="B1078" s="335"/>
      <c r="C1078" s="336"/>
      <c r="D1078" s="336"/>
      <c r="E1078" s="336"/>
      <c r="F1078" s="338"/>
      <c r="G1078" s="338"/>
      <c r="H1078" s="338"/>
      <c r="I1078" s="339"/>
    </row>
    <row r="1079" spans="1:9" hidden="1">
      <c r="A1079" s="334"/>
      <c r="B1079" s="335">
        <v>25.9</v>
      </c>
      <c r="C1079" s="336" t="s">
        <v>30</v>
      </c>
      <c r="D1079" s="336" t="s">
        <v>31</v>
      </c>
      <c r="E1079" s="336"/>
      <c r="F1079" s="338">
        <f>[2]Hardas!$E$71</f>
        <v>70360</v>
      </c>
      <c r="G1079" s="338"/>
      <c r="H1079" s="338">
        <f>F1079*B1079</f>
        <v>1822324</v>
      </c>
      <c r="I1079" s="339"/>
    </row>
    <row r="1080" spans="1:9" hidden="1">
      <c r="A1080" s="334"/>
      <c r="B1080" s="335">
        <v>14.7</v>
      </c>
      <c r="C1080" s="336" t="s">
        <v>23</v>
      </c>
      <c r="D1080" s="336" t="s">
        <v>523</v>
      </c>
      <c r="E1080" s="336"/>
      <c r="F1080" s="338">
        <f>[2]Hardas!$E$152</f>
        <v>465450</v>
      </c>
      <c r="G1080" s="338"/>
      <c r="H1080" s="338">
        <f>F1080*B1080</f>
        <v>6842115</v>
      </c>
      <c r="I1080" s="339"/>
    </row>
    <row r="1081" spans="1:9" hidden="1">
      <c r="A1081" s="334"/>
      <c r="B1081" s="335">
        <v>1</v>
      </c>
      <c r="C1081" s="336" t="s">
        <v>30</v>
      </c>
      <c r="D1081" s="336" t="s">
        <v>533</v>
      </c>
      <c r="E1081" s="336"/>
      <c r="F1081" s="338">
        <f>[2]Hardas!$E$94</f>
        <v>5450</v>
      </c>
      <c r="G1081" s="338"/>
      <c r="H1081" s="338">
        <f>F1081*B1081</f>
        <v>5450</v>
      </c>
      <c r="I1081" s="339"/>
    </row>
    <row r="1082" spans="1:9" hidden="1">
      <c r="A1082" s="334"/>
      <c r="B1082" s="335">
        <v>0.5</v>
      </c>
      <c r="C1082" s="336" t="s">
        <v>7</v>
      </c>
      <c r="D1082" s="336" t="s">
        <v>37</v>
      </c>
      <c r="E1082" s="336"/>
      <c r="F1082" s="338">
        <f>[2]Hardas!$E$95</f>
        <v>5450</v>
      </c>
      <c r="G1082" s="338"/>
      <c r="H1082" s="338">
        <f>F1082*B1082</f>
        <v>2725</v>
      </c>
      <c r="I1082" s="339"/>
    </row>
    <row r="1083" spans="1:9" hidden="1">
      <c r="A1083" s="329"/>
      <c r="B1083" s="330"/>
      <c r="C1083" s="331"/>
      <c r="D1083" s="331"/>
      <c r="E1083" s="331" t="s">
        <v>410</v>
      </c>
      <c r="F1083" s="332"/>
      <c r="G1083" s="332"/>
      <c r="H1083" s="332"/>
      <c r="I1083" s="333">
        <f>SUM(H1079:H1083)</f>
        <v>8672614</v>
      </c>
    </row>
    <row r="1084" spans="1:9" hidden="1">
      <c r="A1084" s="334"/>
      <c r="B1084" s="335"/>
      <c r="C1084" s="336"/>
      <c r="D1084" s="336"/>
      <c r="E1084" s="336"/>
      <c r="F1084" s="338"/>
      <c r="G1084" s="338"/>
      <c r="H1084" s="338"/>
      <c r="I1084" s="339"/>
    </row>
    <row r="1085" spans="1:9" hidden="1">
      <c r="A1085" s="334"/>
      <c r="B1085" s="335"/>
      <c r="C1085" s="336"/>
      <c r="D1085" s="336"/>
      <c r="E1085" s="336"/>
      <c r="F1085" s="338"/>
      <c r="G1085" s="338"/>
      <c r="H1085" s="338"/>
      <c r="I1085" s="339"/>
    </row>
    <row r="1086" spans="1:9" hidden="1">
      <c r="A1086" s="334"/>
      <c r="B1086" s="335"/>
      <c r="C1086" s="336"/>
      <c r="D1086" s="336"/>
      <c r="E1086" s="336"/>
      <c r="F1086" s="338"/>
      <c r="G1086" s="338"/>
      <c r="H1086" s="338"/>
      <c r="I1086" s="339"/>
    </row>
    <row r="1087" spans="1:9" hidden="1">
      <c r="A1087" s="329"/>
      <c r="B1087" s="330"/>
      <c r="C1087" s="331"/>
      <c r="D1087" s="331"/>
      <c r="E1087" s="331" t="s">
        <v>411</v>
      </c>
      <c r="F1087" s="332"/>
      <c r="G1087" s="332"/>
      <c r="H1087" s="332"/>
      <c r="I1087" s="333"/>
    </row>
    <row r="1088" spans="1:9" hidden="1">
      <c r="A1088" s="329"/>
      <c r="B1088" s="330"/>
      <c r="C1088" s="331"/>
      <c r="D1088" s="331" t="s">
        <v>412</v>
      </c>
      <c r="E1088" s="331"/>
      <c r="F1088" s="332"/>
      <c r="G1088" s="332"/>
      <c r="H1088" s="332"/>
      <c r="I1088" s="333">
        <f>SUM(I1071:I1087)</f>
        <v>8982084</v>
      </c>
    </row>
    <row r="1089" spans="1:9" hidden="1">
      <c r="A1089" s="329"/>
      <c r="B1089" s="330"/>
      <c r="C1089" s="331"/>
      <c r="D1089" s="331" t="s">
        <v>413</v>
      </c>
      <c r="E1089" s="331"/>
      <c r="F1089" s="332"/>
      <c r="G1089" s="332"/>
      <c r="H1089" s="332"/>
      <c r="I1089" s="333">
        <f>I1088*0.1</f>
        <v>898208.4</v>
      </c>
    </row>
    <row r="1090" spans="1:9" hidden="1">
      <c r="A1090" s="329"/>
      <c r="B1090" s="330"/>
      <c r="C1090" s="357"/>
      <c r="D1090" s="331" t="s">
        <v>414</v>
      </c>
      <c r="E1090" s="357"/>
      <c r="F1090" s="358"/>
      <c r="G1090" s="358"/>
      <c r="H1090" s="358"/>
      <c r="I1090" s="333">
        <f>ROUNDDOWN(I1089+I1088,0)</f>
        <v>9880292</v>
      </c>
    </row>
    <row r="1091" spans="1:9" ht="13.5" hidden="1" thickBot="1">
      <c r="A1091" s="341"/>
      <c r="B1091" s="342"/>
      <c r="C1091" s="343"/>
      <c r="D1091" s="343"/>
      <c r="E1091" s="343"/>
      <c r="F1091" s="344"/>
      <c r="G1091" s="344"/>
      <c r="H1091" s="344"/>
      <c r="I1091" s="345"/>
    </row>
    <row r="1092" spans="1:9" ht="14.25" hidden="1" thickTop="1" thickBot="1">
      <c r="A1092" s="309" t="s">
        <v>0</v>
      </c>
      <c r="B1092" s="380" t="s">
        <v>397</v>
      </c>
      <c r="C1092" s="310" t="s">
        <v>398</v>
      </c>
      <c r="D1092" s="310" t="s">
        <v>1</v>
      </c>
      <c r="E1092" s="311"/>
      <c r="F1092" s="381" t="s">
        <v>399</v>
      </c>
      <c r="G1092" s="381" t="s">
        <v>400</v>
      </c>
      <c r="H1092" s="381" t="s">
        <v>401</v>
      </c>
      <c r="I1092" s="382" t="s">
        <v>402</v>
      </c>
    </row>
    <row r="1093" spans="1:9" ht="13.5" hidden="1" thickTop="1">
      <c r="A1093" s="351">
        <v>57</v>
      </c>
      <c r="B1093" s="352" t="s">
        <v>538</v>
      </c>
      <c r="C1093" s="353"/>
      <c r="D1093" s="353"/>
      <c r="E1093" s="353"/>
      <c r="F1093" s="354"/>
      <c r="G1093" s="354"/>
      <c r="H1093" s="354"/>
      <c r="I1093" s="355"/>
    </row>
    <row r="1094" spans="1:9" hidden="1">
      <c r="A1094" s="334"/>
      <c r="B1094" s="335">
        <v>3.5000000000000003E-2</v>
      </c>
      <c r="C1094" s="336" t="s">
        <v>511</v>
      </c>
      <c r="D1094" s="336" t="s">
        <v>3</v>
      </c>
      <c r="E1094" s="336"/>
      <c r="F1094" s="337">
        <f>[2]Hardas!$E$10</f>
        <v>100000</v>
      </c>
      <c r="G1094" s="338">
        <f>F1094*B1094</f>
        <v>3500.0000000000005</v>
      </c>
      <c r="H1094" s="338"/>
      <c r="I1094" s="339"/>
    </row>
    <row r="1095" spans="1:9" hidden="1">
      <c r="A1095" s="334"/>
      <c r="B1095" s="335">
        <v>0.27</v>
      </c>
      <c r="C1095" s="336" t="s">
        <v>511</v>
      </c>
      <c r="D1095" s="336" t="s">
        <v>4</v>
      </c>
      <c r="E1095" s="336"/>
      <c r="F1095" s="338">
        <f>[2]Hardas!$E$11</f>
        <v>91000</v>
      </c>
      <c r="G1095" s="338">
        <f>F1095*B1095</f>
        <v>24570</v>
      </c>
      <c r="H1095" s="338"/>
      <c r="I1095" s="339"/>
    </row>
    <row r="1096" spans="1:9" hidden="1">
      <c r="A1096" s="334"/>
      <c r="B1096" s="335">
        <v>3</v>
      </c>
      <c r="C1096" s="336" t="s">
        <v>511</v>
      </c>
      <c r="D1096" s="336" t="s">
        <v>10</v>
      </c>
      <c r="E1096" s="336"/>
      <c r="F1096" s="338">
        <f>[2]Hardas!$E$12</f>
        <v>82000</v>
      </c>
      <c r="G1096" s="338">
        <f>F1096*B1096</f>
        <v>246000</v>
      </c>
      <c r="H1096" s="338"/>
      <c r="I1096" s="339"/>
    </row>
    <row r="1097" spans="1:9" hidden="1">
      <c r="A1097" s="334"/>
      <c r="B1097" s="335">
        <v>0.6</v>
      </c>
      <c r="C1097" s="336" t="s">
        <v>511</v>
      </c>
      <c r="D1097" s="336" t="s">
        <v>6</v>
      </c>
      <c r="E1097" s="336"/>
      <c r="F1097" s="338">
        <f>[2]Hardas!$E$21</f>
        <v>59000</v>
      </c>
      <c r="G1097" s="338">
        <f>F1097*B1097</f>
        <v>35400</v>
      </c>
      <c r="H1097" s="338"/>
      <c r="I1097" s="339"/>
    </row>
    <row r="1098" spans="1:9" hidden="1">
      <c r="A1098" s="329"/>
      <c r="B1098" s="330"/>
      <c r="C1098" s="331"/>
      <c r="D1098" s="331"/>
      <c r="E1098" s="331" t="s">
        <v>405</v>
      </c>
      <c r="F1098" s="332"/>
      <c r="G1098" s="332"/>
      <c r="H1098" s="332"/>
      <c r="I1098" s="333">
        <f>SUM(G1094:G1098)</f>
        <v>309470</v>
      </c>
    </row>
    <row r="1099" spans="1:9" hidden="1">
      <c r="A1099" s="334"/>
      <c r="B1099" s="335"/>
      <c r="C1099" s="336"/>
      <c r="D1099" s="336"/>
      <c r="E1099" s="336"/>
      <c r="F1099" s="338"/>
      <c r="G1099" s="338"/>
      <c r="H1099" s="338"/>
      <c r="I1099" s="339"/>
    </row>
    <row r="1100" spans="1:9" hidden="1">
      <c r="A1100" s="334"/>
      <c r="B1100" s="335">
        <v>8.25</v>
      </c>
      <c r="C1100" s="336" t="s">
        <v>30</v>
      </c>
      <c r="D1100" s="336" t="s">
        <v>31</v>
      </c>
      <c r="E1100" s="336"/>
      <c r="F1100" s="338">
        <f>[2]Hardas!$E$71</f>
        <v>70360</v>
      </c>
      <c r="G1100" s="338"/>
      <c r="H1100" s="338">
        <f t="shared" ref="H1100:H1105" si="18">F1100*B1100</f>
        <v>580470</v>
      </c>
      <c r="I1100" s="339"/>
    </row>
    <row r="1101" spans="1:9" hidden="1">
      <c r="A1101" s="334"/>
      <c r="B1101" s="335">
        <v>2.4</v>
      </c>
      <c r="C1101" s="336" t="s">
        <v>23</v>
      </c>
      <c r="D1101" s="336" t="s">
        <v>523</v>
      </c>
      <c r="E1101" s="336"/>
      <c r="F1101" s="338">
        <f>[2]Hardas!$E$152</f>
        <v>465450</v>
      </c>
      <c r="G1101" s="338"/>
      <c r="H1101" s="338">
        <f t="shared" si="18"/>
        <v>1117080</v>
      </c>
      <c r="I1101" s="339"/>
    </row>
    <row r="1102" spans="1:9" hidden="1">
      <c r="A1102" s="334"/>
      <c r="B1102" s="335">
        <v>2</v>
      </c>
      <c r="C1102" s="336" t="s">
        <v>433</v>
      </c>
      <c r="D1102" s="336" t="s">
        <v>532</v>
      </c>
      <c r="E1102" s="336"/>
      <c r="F1102" s="338">
        <f>[2]Hardas!$E$204</f>
        <v>12500</v>
      </c>
      <c r="G1102" s="338"/>
      <c r="H1102" s="338">
        <f t="shared" si="18"/>
        <v>25000</v>
      </c>
      <c r="I1102" s="339"/>
    </row>
    <row r="1103" spans="1:9" hidden="1">
      <c r="A1103" s="334"/>
      <c r="B1103" s="335">
        <v>2</v>
      </c>
      <c r="C1103" s="336" t="s">
        <v>433</v>
      </c>
      <c r="D1103" s="336" t="s">
        <v>517</v>
      </c>
      <c r="E1103" s="336"/>
      <c r="F1103" s="338">
        <f>[2]Hardas!$E$200</f>
        <v>50000</v>
      </c>
      <c r="G1103" s="338"/>
      <c r="H1103" s="338">
        <f t="shared" si="18"/>
        <v>100000</v>
      </c>
      <c r="I1103" s="339"/>
    </row>
    <row r="1104" spans="1:9" hidden="1">
      <c r="A1104" s="334"/>
      <c r="B1104" s="335">
        <v>8.25</v>
      </c>
      <c r="C1104" s="336" t="s">
        <v>30</v>
      </c>
      <c r="D1104" s="336" t="s">
        <v>533</v>
      </c>
      <c r="E1104" s="336"/>
      <c r="F1104" s="338">
        <f>[2]Hardas!$E$94</f>
        <v>5450</v>
      </c>
      <c r="G1104" s="338"/>
      <c r="H1104" s="338">
        <f t="shared" si="18"/>
        <v>44962.5</v>
      </c>
      <c r="I1104" s="339"/>
    </row>
    <row r="1105" spans="1:9" hidden="1">
      <c r="A1105" s="334"/>
      <c r="B1105" s="335">
        <v>0.5</v>
      </c>
      <c r="C1105" s="336" t="s">
        <v>7</v>
      </c>
      <c r="D1105" s="336" t="s">
        <v>37</v>
      </c>
      <c r="E1105" s="336"/>
      <c r="F1105" s="338">
        <f>[2]Hardas!$E$95</f>
        <v>5450</v>
      </c>
      <c r="G1105" s="338"/>
      <c r="H1105" s="338">
        <f t="shared" si="18"/>
        <v>2725</v>
      </c>
      <c r="I1105" s="339"/>
    </row>
    <row r="1106" spans="1:9" hidden="1">
      <c r="A1106" s="329"/>
      <c r="B1106" s="330"/>
      <c r="C1106" s="331"/>
      <c r="D1106" s="331"/>
      <c r="E1106" s="331" t="s">
        <v>410</v>
      </c>
      <c r="F1106" s="332"/>
      <c r="G1106" s="332"/>
      <c r="H1106" s="332"/>
      <c r="I1106" s="333">
        <f>SUM(H1100:H1106)</f>
        <v>1870237.5</v>
      </c>
    </row>
    <row r="1107" spans="1:9" hidden="1">
      <c r="A1107" s="334"/>
      <c r="B1107" s="335"/>
      <c r="C1107" s="336"/>
      <c r="D1107" s="336"/>
      <c r="E1107" s="336"/>
      <c r="F1107" s="338"/>
      <c r="G1107" s="338"/>
      <c r="H1107" s="338"/>
      <c r="I1107" s="339"/>
    </row>
    <row r="1108" spans="1:9" hidden="1">
      <c r="A1108" s="334"/>
      <c r="B1108" s="335"/>
      <c r="C1108" s="336"/>
      <c r="D1108" s="336"/>
      <c r="E1108" s="336"/>
      <c r="F1108" s="338"/>
      <c r="G1108" s="338"/>
      <c r="H1108" s="338"/>
      <c r="I1108" s="339"/>
    </row>
    <row r="1109" spans="1:9" hidden="1">
      <c r="A1109" s="334"/>
      <c r="B1109" s="335"/>
      <c r="C1109" s="336"/>
      <c r="D1109" s="336"/>
      <c r="E1109" s="336"/>
      <c r="F1109" s="338"/>
      <c r="G1109" s="338"/>
      <c r="H1109" s="338"/>
      <c r="I1109" s="339"/>
    </row>
    <row r="1110" spans="1:9" hidden="1">
      <c r="A1110" s="329"/>
      <c r="B1110" s="330"/>
      <c r="C1110" s="331"/>
      <c r="D1110" s="331"/>
      <c r="E1110" s="331" t="s">
        <v>411</v>
      </c>
      <c r="F1110" s="332"/>
      <c r="G1110" s="332"/>
      <c r="H1110" s="332"/>
      <c r="I1110" s="333"/>
    </row>
    <row r="1111" spans="1:9" hidden="1">
      <c r="A1111" s="329"/>
      <c r="B1111" s="330"/>
      <c r="C1111" s="331"/>
      <c r="D1111" s="331" t="s">
        <v>412</v>
      </c>
      <c r="E1111" s="331"/>
      <c r="F1111" s="332"/>
      <c r="G1111" s="332"/>
      <c r="H1111" s="332"/>
      <c r="I1111" s="333">
        <f>SUM(I1094:I1110)</f>
        <v>2179707.5</v>
      </c>
    </row>
    <row r="1112" spans="1:9" hidden="1">
      <c r="A1112" s="329"/>
      <c r="B1112" s="330"/>
      <c r="C1112" s="331"/>
      <c r="D1112" s="331" t="s">
        <v>413</v>
      </c>
      <c r="E1112" s="331"/>
      <c r="F1112" s="332"/>
      <c r="G1112" s="332"/>
      <c r="H1112" s="332"/>
      <c r="I1112" s="333">
        <f>I1111*0.1</f>
        <v>217970.75</v>
      </c>
    </row>
    <row r="1113" spans="1:9" hidden="1">
      <c r="A1113" s="385"/>
      <c r="B1113" s="361"/>
      <c r="C1113" s="362"/>
      <c r="D1113" s="363" t="s">
        <v>414</v>
      </c>
      <c r="E1113" s="362"/>
      <c r="F1113" s="364"/>
      <c r="G1113" s="364"/>
      <c r="H1113" s="364"/>
      <c r="I1113" s="365">
        <f>ROUNDDOWN(I1112+I1111,0)</f>
        <v>2397678</v>
      </c>
    </row>
    <row r="1114" spans="1:9" ht="13.5" hidden="1" thickBot="1">
      <c r="A1114" s="386"/>
      <c r="B1114" s="367"/>
      <c r="C1114" s="368"/>
      <c r="D1114" s="369"/>
      <c r="E1114" s="368"/>
      <c r="F1114" s="370"/>
      <c r="G1114" s="370"/>
      <c r="H1114" s="370"/>
      <c r="I1114" s="371"/>
    </row>
    <row r="1115" spans="1:9" ht="14.25" hidden="1" thickTop="1" thickBot="1">
      <c r="A1115" s="309" t="s">
        <v>0</v>
      </c>
      <c r="B1115" s="380" t="s">
        <v>397</v>
      </c>
      <c r="C1115" s="310" t="s">
        <v>398</v>
      </c>
      <c r="D1115" s="310" t="s">
        <v>1</v>
      </c>
      <c r="E1115" s="311"/>
      <c r="F1115" s="381" t="s">
        <v>399</v>
      </c>
      <c r="G1115" s="381" t="s">
        <v>400</v>
      </c>
      <c r="H1115" s="381" t="s">
        <v>401</v>
      </c>
      <c r="I1115" s="382" t="s">
        <v>402</v>
      </c>
    </row>
    <row r="1116" spans="1:9" ht="13.5" hidden="1" thickTop="1">
      <c r="A1116" s="351">
        <v>58</v>
      </c>
      <c r="B1116" s="352" t="s">
        <v>539</v>
      </c>
      <c r="C1116" s="353"/>
      <c r="D1116" s="353"/>
      <c r="E1116" s="353"/>
      <c r="F1116" s="354"/>
      <c r="G1116" s="354"/>
      <c r="H1116" s="354"/>
      <c r="I1116" s="355"/>
    </row>
    <row r="1117" spans="1:9" hidden="1">
      <c r="A1117" s="334"/>
      <c r="B1117" s="335">
        <v>3.5000000000000003E-2</v>
      </c>
      <c r="C1117" s="336" t="s">
        <v>511</v>
      </c>
      <c r="D1117" s="336" t="s">
        <v>3</v>
      </c>
      <c r="E1117" s="336"/>
      <c r="F1117" s="337">
        <f>[2]Hardas!$E$10</f>
        <v>100000</v>
      </c>
      <c r="G1117" s="338">
        <f>F1117*B1117</f>
        <v>3500.0000000000005</v>
      </c>
      <c r="H1117" s="338"/>
      <c r="I1117" s="339"/>
    </row>
    <row r="1118" spans="1:9" hidden="1">
      <c r="A1118" s="334"/>
      <c r="B1118" s="335">
        <v>0.27</v>
      </c>
      <c r="C1118" s="336" t="s">
        <v>511</v>
      </c>
      <c r="D1118" s="336" t="s">
        <v>4</v>
      </c>
      <c r="E1118" s="336"/>
      <c r="F1118" s="338">
        <f>[2]Hardas!$E$11</f>
        <v>91000</v>
      </c>
      <c r="G1118" s="338">
        <f>F1118*B1118</f>
        <v>24570</v>
      </c>
      <c r="H1118" s="338"/>
      <c r="I1118" s="339"/>
    </row>
    <row r="1119" spans="1:9" hidden="1">
      <c r="A1119" s="334"/>
      <c r="B1119" s="335">
        <v>3</v>
      </c>
      <c r="C1119" s="336" t="s">
        <v>511</v>
      </c>
      <c r="D1119" s="336" t="s">
        <v>10</v>
      </c>
      <c r="E1119" s="336"/>
      <c r="F1119" s="338">
        <f>[2]Hardas!$E$12</f>
        <v>82000</v>
      </c>
      <c r="G1119" s="338">
        <f>F1119*B1119</f>
        <v>246000</v>
      </c>
      <c r="H1119" s="338"/>
      <c r="I1119" s="339"/>
    </row>
    <row r="1120" spans="1:9" hidden="1">
      <c r="A1120" s="334"/>
      <c r="B1120" s="335">
        <v>0.6</v>
      </c>
      <c r="C1120" s="336" t="s">
        <v>511</v>
      </c>
      <c r="D1120" s="336" t="s">
        <v>6</v>
      </c>
      <c r="E1120" s="336"/>
      <c r="F1120" s="338">
        <f>[2]Hardas!$E$21</f>
        <v>59000</v>
      </c>
      <c r="G1120" s="338">
        <f>F1120*B1120</f>
        <v>35400</v>
      </c>
      <c r="H1120" s="338"/>
      <c r="I1120" s="339"/>
    </row>
    <row r="1121" spans="1:9" hidden="1">
      <c r="A1121" s="329"/>
      <c r="B1121" s="330"/>
      <c r="C1121" s="331"/>
      <c r="D1121" s="331"/>
      <c r="E1121" s="331" t="s">
        <v>405</v>
      </c>
      <c r="F1121" s="332"/>
      <c r="G1121" s="332"/>
      <c r="H1121" s="332"/>
      <c r="I1121" s="333">
        <f>SUM(G1117:G1121)</f>
        <v>309470</v>
      </c>
    </row>
    <row r="1122" spans="1:9" hidden="1">
      <c r="A1122" s="334"/>
      <c r="B1122" s="335"/>
      <c r="C1122" s="336"/>
      <c r="D1122" s="336"/>
      <c r="E1122" s="336"/>
      <c r="F1122" s="338"/>
      <c r="G1122" s="338"/>
      <c r="H1122" s="338"/>
      <c r="I1122" s="339"/>
    </row>
    <row r="1123" spans="1:9" hidden="1">
      <c r="A1123" s="334"/>
      <c r="B1123" s="335">
        <v>8.25</v>
      </c>
      <c r="C1123" s="336" t="s">
        <v>30</v>
      </c>
      <c r="D1123" s="336" t="s">
        <v>31</v>
      </c>
      <c r="E1123" s="336"/>
      <c r="F1123" s="338">
        <f>[2]Hardas!$E$71</f>
        <v>70360</v>
      </c>
      <c r="G1123" s="338"/>
      <c r="H1123" s="338">
        <f t="shared" ref="H1123:H1128" si="19">F1123*B1123</f>
        <v>580470</v>
      </c>
      <c r="I1123" s="339"/>
    </row>
    <row r="1124" spans="1:9" hidden="1">
      <c r="A1124" s="334"/>
      <c r="B1124" s="335">
        <f>2.4*0+5.2*2.4</f>
        <v>12.48</v>
      </c>
      <c r="C1124" s="336" t="s">
        <v>23</v>
      </c>
      <c r="D1124" s="336" t="s">
        <v>523</v>
      </c>
      <c r="E1124" s="336"/>
      <c r="F1124" s="338">
        <f>[2]Hardas!$E$152</f>
        <v>465450</v>
      </c>
      <c r="G1124" s="338"/>
      <c r="H1124" s="338">
        <f t="shared" si="19"/>
        <v>5808816</v>
      </c>
      <c r="I1124" s="339"/>
    </row>
    <row r="1125" spans="1:9" hidden="1">
      <c r="A1125" s="334"/>
      <c r="B1125" s="335">
        <v>2</v>
      </c>
      <c r="C1125" s="336" t="s">
        <v>433</v>
      </c>
      <c r="D1125" s="336" t="s">
        <v>532</v>
      </c>
      <c r="E1125" s="336"/>
      <c r="F1125" s="338">
        <f>[2]Hardas!$E$204</f>
        <v>12500</v>
      </c>
      <c r="G1125" s="338"/>
      <c r="H1125" s="338">
        <f t="shared" si="19"/>
        <v>25000</v>
      </c>
      <c r="I1125" s="339"/>
    </row>
    <row r="1126" spans="1:9" hidden="1">
      <c r="A1126" s="334"/>
      <c r="B1126" s="335">
        <v>2</v>
      </c>
      <c r="C1126" s="336" t="s">
        <v>433</v>
      </c>
      <c r="D1126" s="336" t="s">
        <v>517</v>
      </c>
      <c r="E1126" s="336"/>
      <c r="F1126" s="338">
        <f>[2]Hardas!$E$200</f>
        <v>50000</v>
      </c>
      <c r="G1126" s="338"/>
      <c r="H1126" s="338">
        <f t="shared" si="19"/>
        <v>100000</v>
      </c>
      <c r="I1126" s="339"/>
    </row>
    <row r="1127" spans="1:9" hidden="1">
      <c r="A1127" s="334"/>
      <c r="B1127" s="335">
        <v>8.25</v>
      </c>
      <c r="C1127" s="336" t="s">
        <v>30</v>
      </c>
      <c r="D1127" s="336" t="s">
        <v>533</v>
      </c>
      <c r="E1127" s="336"/>
      <c r="F1127" s="338">
        <f>[2]Hardas!$E$94</f>
        <v>5450</v>
      </c>
      <c r="G1127" s="338"/>
      <c r="H1127" s="338">
        <f t="shared" si="19"/>
        <v>44962.5</v>
      </c>
      <c r="I1127" s="339"/>
    </row>
    <row r="1128" spans="1:9" hidden="1">
      <c r="A1128" s="334"/>
      <c r="B1128" s="335">
        <v>0.5</v>
      </c>
      <c r="C1128" s="336" t="s">
        <v>7</v>
      </c>
      <c r="D1128" s="336" t="s">
        <v>37</v>
      </c>
      <c r="E1128" s="336"/>
      <c r="F1128" s="338">
        <f>[2]Hardas!$E$95</f>
        <v>5450</v>
      </c>
      <c r="G1128" s="338"/>
      <c r="H1128" s="338">
        <f t="shared" si="19"/>
        <v>2725</v>
      </c>
      <c r="I1128" s="339"/>
    </row>
    <row r="1129" spans="1:9" hidden="1">
      <c r="A1129" s="329"/>
      <c r="B1129" s="330"/>
      <c r="C1129" s="331"/>
      <c r="D1129" s="331"/>
      <c r="E1129" s="331" t="s">
        <v>410</v>
      </c>
      <c r="F1129" s="332"/>
      <c r="G1129" s="332"/>
      <c r="H1129" s="332"/>
      <c r="I1129" s="333">
        <f>SUM(H1123:H1129)</f>
        <v>6561973.5</v>
      </c>
    </row>
    <row r="1130" spans="1:9" hidden="1">
      <c r="A1130" s="334"/>
      <c r="B1130" s="335"/>
      <c r="C1130" s="336"/>
      <c r="D1130" s="336"/>
      <c r="E1130" s="336"/>
      <c r="F1130" s="338"/>
      <c r="G1130" s="338"/>
      <c r="H1130" s="338"/>
      <c r="I1130" s="339"/>
    </row>
    <row r="1131" spans="1:9" hidden="1">
      <c r="A1131" s="334"/>
      <c r="B1131" s="335"/>
      <c r="C1131" s="336"/>
      <c r="D1131" s="336"/>
      <c r="E1131" s="336"/>
      <c r="F1131" s="338"/>
      <c r="G1131" s="338"/>
      <c r="H1131" s="338"/>
      <c r="I1131" s="339"/>
    </row>
    <row r="1132" spans="1:9" hidden="1">
      <c r="A1132" s="334"/>
      <c r="B1132" s="335">
        <v>1</v>
      </c>
      <c r="C1132" s="336" t="s">
        <v>446</v>
      </c>
      <c r="D1132" s="336" t="s">
        <v>534</v>
      </c>
      <c r="E1132" s="336"/>
      <c r="F1132" s="338">
        <f>I1129*0.05</f>
        <v>328098.67500000005</v>
      </c>
      <c r="G1132" s="338">
        <f>F1132*B1132</f>
        <v>328098.67500000005</v>
      </c>
      <c r="H1132" s="338"/>
      <c r="I1132" s="339"/>
    </row>
    <row r="1133" spans="1:9" hidden="1">
      <c r="A1133" s="329"/>
      <c r="B1133" s="330"/>
      <c r="C1133" s="331"/>
      <c r="D1133" s="331"/>
      <c r="E1133" s="331" t="s">
        <v>411</v>
      </c>
      <c r="F1133" s="332"/>
      <c r="G1133" s="332"/>
      <c r="H1133" s="332"/>
      <c r="I1133" s="333">
        <f>SUM(G1132:G1133)</f>
        <v>328098.67500000005</v>
      </c>
    </row>
    <row r="1134" spans="1:9" hidden="1">
      <c r="A1134" s="329"/>
      <c r="B1134" s="330"/>
      <c r="C1134" s="331"/>
      <c r="D1134" s="331" t="s">
        <v>412</v>
      </c>
      <c r="E1134" s="331"/>
      <c r="F1134" s="332"/>
      <c r="G1134" s="332"/>
      <c r="H1134" s="332"/>
      <c r="I1134" s="333">
        <f>SUM(I1117:I1133)</f>
        <v>7199542.1749999998</v>
      </c>
    </row>
    <row r="1135" spans="1:9" hidden="1">
      <c r="A1135" s="329"/>
      <c r="B1135" s="330"/>
      <c r="C1135" s="331"/>
      <c r="D1135" s="331" t="s">
        <v>413</v>
      </c>
      <c r="E1135" s="331"/>
      <c r="F1135" s="332"/>
      <c r="G1135" s="332"/>
      <c r="H1135" s="332"/>
      <c r="I1135" s="333">
        <f>I1134*0.1</f>
        <v>719954.21750000003</v>
      </c>
    </row>
    <row r="1136" spans="1:9" hidden="1">
      <c r="A1136" s="385"/>
      <c r="B1136" s="361"/>
      <c r="C1136" s="362"/>
      <c r="D1136" s="363" t="s">
        <v>414</v>
      </c>
      <c r="E1136" s="362"/>
      <c r="F1136" s="364"/>
      <c r="G1136" s="364"/>
      <c r="H1136" s="364"/>
      <c r="I1136" s="365">
        <f>ROUNDDOWN(I1135+I1134,0)</f>
        <v>7919496</v>
      </c>
    </row>
    <row r="1137" spans="1:9" ht="13.5" hidden="1" thickBot="1">
      <c r="A1137" s="386"/>
      <c r="B1137" s="367"/>
      <c r="C1137" s="368"/>
      <c r="D1137" s="369"/>
      <c r="E1137" s="368"/>
      <c r="F1137" s="370"/>
      <c r="G1137" s="370"/>
      <c r="H1137" s="370"/>
      <c r="I1137" s="371"/>
    </row>
    <row r="1138" spans="1:9" ht="14.25" hidden="1" thickTop="1" thickBot="1">
      <c r="A1138" s="309" t="s">
        <v>0</v>
      </c>
      <c r="B1138" s="380" t="s">
        <v>397</v>
      </c>
      <c r="C1138" s="310" t="s">
        <v>398</v>
      </c>
      <c r="D1138" s="310" t="s">
        <v>1</v>
      </c>
      <c r="E1138" s="311"/>
      <c r="F1138" s="381" t="s">
        <v>399</v>
      </c>
      <c r="G1138" s="381" t="s">
        <v>400</v>
      </c>
      <c r="H1138" s="381" t="s">
        <v>401</v>
      </c>
      <c r="I1138" s="382" t="s">
        <v>402</v>
      </c>
    </row>
    <row r="1139" spans="1:9" ht="13.5" hidden="1" thickTop="1">
      <c r="A1139" s="351">
        <v>59</v>
      </c>
      <c r="B1139" s="352" t="s">
        <v>540</v>
      </c>
      <c r="C1139" s="353"/>
      <c r="D1139" s="353"/>
      <c r="E1139" s="353"/>
      <c r="F1139" s="354"/>
      <c r="G1139" s="354"/>
      <c r="H1139" s="354"/>
      <c r="I1139" s="355"/>
    </row>
    <row r="1140" spans="1:9" hidden="1">
      <c r="A1140" s="334"/>
      <c r="B1140" s="335">
        <v>3.5000000000000003E-2</v>
      </c>
      <c r="C1140" s="336" t="s">
        <v>511</v>
      </c>
      <c r="D1140" s="336" t="s">
        <v>3</v>
      </c>
      <c r="E1140" s="336"/>
      <c r="F1140" s="337">
        <f>[2]Hardas!$E$10</f>
        <v>100000</v>
      </c>
      <c r="G1140" s="338">
        <f>F1140*B1140</f>
        <v>3500.0000000000005</v>
      </c>
      <c r="H1140" s="338"/>
      <c r="I1140" s="339"/>
    </row>
    <row r="1141" spans="1:9" hidden="1">
      <c r="A1141" s="334"/>
      <c r="B1141" s="335">
        <v>0.27</v>
      </c>
      <c r="C1141" s="336" t="s">
        <v>511</v>
      </c>
      <c r="D1141" s="336" t="s">
        <v>4</v>
      </c>
      <c r="E1141" s="336"/>
      <c r="F1141" s="338">
        <f>[2]Hardas!$E$11</f>
        <v>91000</v>
      </c>
      <c r="G1141" s="338">
        <f>F1141*B1141</f>
        <v>24570</v>
      </c>
      <c r="H1141" s="338"/>
      <c r="I1141" s="339"/>
    </row>
    <row r="1142" spans="1:9" hidden="1">
      <c r="A1142" s="334"/>
      <c r="B1142" s="335">
        <v>3</v>
      </c>
      <c r="C1142" s="336" t="s">
        <v>511</v>
      </c>
      <c r="D1142" s="336" t="s">
        <v>10</v>
      </c>
      <c r="E1142" s="336"/>
      <c r="F1142" s="338">
        <f>[2]Hardas!$E$12</f>
        <v>82000</v>
      </c>
      <c r="G1142" s="338">
        <f>F1142*B1142</f>
        <v>246000</v>
      </c>
      <c r="H1142" s="338"/>
      <c r="I1142" s="339"/>
    </row>
    <row r="1143" spans="1:9" hidden="1">
      <c r="A1143" s="334"/>
      <c r="B1143" s="335">
        <v>0.6</v>
      </c>
      <c r="C1143" s="336" t="s">
        <v>511</v>
      </c>
      <c r="D1143" s="336" t="s">
        <v>6</v>
      </c>
      <c r="E1143" s="336"/>
      <c r="F1143" s="338">
        <f>[2]Hardas!$E$21</f>
        <v>59000</v>
      </c>
      <c r="G1143" s="338">
        <f>F1143*B1143</f>
        <v>35400</v>
      </c>
      <c r="H1143" s="338"/>
      <c r="I1143" s="339"/>
    </row>
    <row r="1144" spans="1:9" hidden="1">
      <c r="A1144" s="329"/>
      <c r="B1144" s="330"/>
      <c r="C1144" s="331"/>
      <c r="D1144" s="331"/>
      <c r="E1144" s="331" t="s">
        <v>405</v>
      </c>
      <c r="F1144" s="332"/>
      <c r="G1144" s="332"/>
      <c r="H1144" s="332"/>
      <c r="I1144" s="333">
        <f>SUM(G1140:G1144)</f>
        <v>309470</v>
      </c>
    </row>
    <row r="1145" spans="1:9" hidden="1">
      <c r="A1145" s="334"/>
      <c r="B1145" s="335"/>
      <c r="C1145" s="336"/>
      <c r="D1145" s="336"/>
      <c r="E1145" s="336"/>
      <c r="F1145" s="338"/>
      <c r="G1145" s="338"/>
      <c r="H1145" s="338"/>
      <c r="I1145" s="339"/>
    </row>
    <row r="1146" spans="1:9" hidden="1">
      <c r="A1146" s="334"/>
      <c r="B1146" s="335">
        <v>9.1999999999999993</v>
      </c>
      <c r="C1146" s="336" t="s">
        <v>30</v>
      </c>
      <c r="D1146" s="336" t="s">
        <v>31</v>
      </c>
      <c r="E1146" s="336"/>
      <c r="F1146" s="338">
        <f>[2]Hardas!$E$71</f>
        <v>70360</v>
      </c>
      <c r="G1146" s="338"/>
      <c r="H1146" s="338">
        <f>F1146*B1146</f>
        <v>647312</v>
      </c>
      <c r="I1146" s="339"/>
    </row>
    <row r="1147" spans="1:9" hidden="1">
      <c r="A1147" s="334"/>
      <c r="B1147" s="335">
        <f>1.78*0+6.96*3.2/2</f>
        <v>11.136000000000001</v>
      </c>
      <c r="C1147" s="336" t="s">
        <v>23</v>
      </c>
      <c r="D1147" s="336" t="s">
        <v>523</v>
      </c>
      <c r="E1147" s="336"/>
      <c r="F1147" s="338">
        <f>[2]Hardas!$E$152</f>
        <v>465450</v>
      </c>
      <c r="G1147" s="338"/>
      <c r="H1147" s="338">
        <f>F1147*B1147</f>
        <v>5183251.2</v>
      </c>
      <c r="I1147" s="339"/>
    </row>
    <row r="1148" spans="1:9" hidden="1">
      <c r="A1148" s="334"/>
      <c r="B1148" s="335">
        <v>9.1999999999999993</v>
      </c>
      <c r="C1148" s="336" t="s">
        <v>30</v>
      </c>
      <c r="D1148" s="336" t="s">
        <v>533</v>
      </c>
      <c r="E1148" s="336"/>
      <c r="F1148" s="338">
        <f>[2]Hardas!$E$94</f>
        <v>5450</v>
      </c>
      <c r="G1148" s="338"/>
      <c r="H1148" s="338">
        <f>F1148*B1148</f>
        <v>50139.999999999993</v>
      </c>
      <c r="I1148" s="339"/>
    </row>
    <row r="1149" spans="1:9" hidden="1">
      <c r="A1149" s="334"/>
      <c r="B1149" s="335">
        <v>0.5</v>
      </c>
      <c r="C1149" s="336" t="s">
        <v>7</v>
      </c>
      <c r="D1149" s="336" t="s">
        <v>37</v>
      </c>
      <c r="E1149" s="336"/>
      <c r="F1149" s="338">
        <f>[2]Hardas!$E$95</f>
        <v>5450</v>
      </c>
      <c r="G1149" s="338"/>
      <c r="H1149" s="338">
        <f>F1149*B1149</f>
        <v>2725</v>
      </c>
      <c r="I1149" s="339"/>
    </row>
    <row r="1150" spans="1:9" hidden="1">
      <c r="A1150" s="329"/>
      <c r="B1150" s="330"/>
      <c r="C1150" s="331"/>
      <c r="D1150" s="331"/>
      <c r="E1150" s="331" t="s">
        <v>410</v>
      </c>
      <c r="F1150" s="332"/>
      <c r="G1150" s="332"/>
      <c r="H1150" s="332"/>
      <c r="I1150" s="333">
        <f>SUM(H1146:H1150)</f>
        <v>5883428.2000000002</v>
      </c>
    </row>
    <row r="1151" spans="1:9" hidden="1">
      <c r="A1151" s="334"/>
      <c r="B1151" s="335"/>
      <c r="C1151" s="336"/>
      <c r="D1151" s="336"/>
      <c r="E1151" s="336"/>
      <c r="F1151" s="338"/>
      <c r="G1151" s="338"/>
      <c r="H1151" s="338"/>
      <c r="I1151" s="339"/>
    </row>
    <row r="1152" spans="1:9" hidden="1">
      <c r="A1152" s="334"/>
      <c r="B1152" s="335"/>
      <c r="C1152" s="336"/>
      <c r="D1152" s="336"/>
      <c r="E1152" s="336"/>
      <c r="F1152" s="338"/>
      <c r="G1152" s="338"/>
      <c r="H1152" s="338"/>
      <c r="I1152" s="339"/>
    </row>
    <row r="1153" spans="1:9" hidden="1">
      <c r="A1153" s="334"/>
      <c r="B1153" s="335">
        <v>1</v>
      </c>
      <c r="C1153" s="336" t="s">
        <v>446</v>
      </c>
      <c r="D1153" s="336" t="s">
        <v>534</v>
      </c>
      <c r="E1153" s="336"/>
      <c r="F1153" s="338">
        <f>I1150*0</f>
        <v>0</v>
      </c>
      <c r="G1153" s="338">
        <f>F1153*B1153</f>
        <v>0</v>
      </c>
      <c r="H1153" s="338"/>
      <c r="I1153" s="339"/>
    </row>
    <row r="1154" spans="1:9" hidden="1">
      <c r="A1154" s="329"/>
      <c r="B1154" s="330"/>
      <c r="C1154" s="331"/>
      <c r="D1154" s="331"/>
      <c r="E1154" s="331" t="s">
        <v>411</v>
      </c>
      <c r="F1154" s="332"/>
      <c r="G1154" s="332"/>
      <c r="H1154" s="332"/>
      <c r="I1154" s="333">
        <f>SUM(G1153:G1154)</f>
        <v>0</v>
      </c>
    </row>
    <row r="1155" spans="1:9" hidden="1">
      <c r="A1155" s="329"/>
      <c r="B1155" s="330"/>
      <c r="C1155" s="331"/>
      <c r="D1155" s="331" t="s">
        <v>412</v>
      </c>
      <c r="E1155" s="331"/>
      <c r="F1155" s="332"/>
      <c r="G1155" s="332"/>
      <c r="H1155" s="332"/>
      <c r="I1155" s="333">
        <f>SUM(I1140:I1154)</f>
        <v>6192898.2000000002</v>
      </c>
    </row>
    <row r="1156" spans="1:9" hidden="1">
      <c r="A1156" s="329"/>
      <c r="B1156" s="330"/>
      <c r="C1156" s="331"/>
      <c r="D1156" s="331" t="s">
        <v>413</v>
      </c>
      <c r="E1156" s="331"/>
      <c r="F1156" s="332"/>
      <c r="G1156" s="332"/>
      <c r="H1156" s="332"/>
      <c r="I1156" s="333">
        <f>I1155*0.1</f>
        <v>619289.82000000007</v>
      </c>
    </row>
    <row r="1157" spans="1:9" hidden="1">
      <c r="A1157" s="385"/>
      <c r="B1157" s="361"/>
      <c r="C1157" s="362"/>
      <c r="D1157" s="363" t="s">
        <v>414</v>
      </c>
      <c r="E1157" s="362"/>
      <c r="F1157" s="364"/>
      <c r="G1157" s="364"/>
      <c r="H1157" s="364"/>
      <c r="I1157" s="365">
        <f>ROUNDDOWN(I1156+I1155,0)</f>
        <v>6812188</v>
      </c>
    </row>
    <row r="1158" spans="1:9" ht="13.5" hidden="1" thickBot="1">
      <c r="A1158" s="386"/>
      <c r="B1158" s="367"/>
      <c r="C1158" s="368"/>
      <c r="D1158" s="369"/>
      <c r="E1158" s="368"/>
      <c r="F1158" s="370"/>
      <c r="G1158" s="370"/>
      <c r="H1158" s="370"/>
      <c r="I1158" s="371"/>
    </row>
    <row r="1159" spans="1:9" ht="14.25" hidden="1" thickTop="1" thickBot="1">
      <c r="A1159" s="309" t="s">
        <v>0</v>
      </c>
      <c r="B1159" s="380" t="s">
        <v>397</v>
      </c>
      <c r="C1159" s="310" t="s">
        <v>398</v>
      </c>
      <c r="D1159" s="310" t="s">
        <v>1</v>
      </c>
      <c r="E1159" s="311"/>
      <c r="F1159" s="381" t="s">
        <v>399</v>
      </c>
      <c r="G1159" s="381" t="s">
        <v>400</v>
      </c>
      <c r="H1159" s="381" t="s">
        <v>401</v>
      </c>
      <c r="I1159" s="382" t="s">
        <v>402</v>
      </c>
    </row>
    <row r="1160" spans="1:9" ht="13.5" hidden="1" thickTop="1">
      <c r="A1160" s="351">
        <v>60</v>
      </c>
      <c r="B1160" s="352" t="s">
        <v>541</v>
      </c>
      <c r="C1160" s="353"/>
      <c r="D1160" s="353"/>
      <c r="E1160" s="353"/>
      <c r="F1160" s="354"/>
      <c r="G1160" s="354"/>
      <c r="H1160" s="354"/>
      <c r="I1160" s="355"/>
    </row>
    <row r="1161" spans="1:9" hidden="1">
      <c r="A1161" s="334"/>
      <c r="B1161" s="335">
        <v>3.5000000000000003E-2</v>
      </c>
      <c r="C1161" s="336" t="s">
        <v>511</v>
      </c>
      <c r="D1161" s="336" t="s">
        <v>3</v>
      </c>
      <c r="E1161" s="336"/>
      <c r="F1161" s="337">
        <f>[2]Hardas!$E$10</f>
        <v>100000</v>
      </c>
      <c r="G1161" s="338">
        <f>F1161*B1161</f>
        <v>3500.0000000000005</v>
      </c>
      <c r="H1161" s="338"/>
      <c r="I1161" s="339"/>
    </row>
    <row r="1162" spans="1:9" hidden="1">
      <c r="A1162" s="334"/>
      <c r="B1162" s="335">
        <v>0.27</v>
      </c>
      <c r="C1162" s="336" t="s">
        <v>511</v>
      </c>
      <c r="D1162" s="336" t="s">
        <v>4</v>
      </c>
      <c r="E1162" s="336"/>
      <c r="F1162" s="338">
        <f>[2]Hardas!$E$11</f>
        <v>91000</v>
      </c>
      <c r="G1162" s="338">
        <f>F1162*B1162</f>
        <v>24570</v>
      </c>
      <c r="H1162" s="338"/>
      <c r="I1162" s="339"/>
    </row>
    <row r="1163" spans="1:9" hidden="1">
      <c r="A1163" s="334"/>
      <c r="B1163" s="335">
        <v>3</v>
      </c>
      <c r="C1163" s="336" t="s">
        <v>511</v>
      </c>
      <c r="D1163" s="336" t="s">
        <v>10</v>
      </c>
      <c r="E1163" s="336"/>
      <c r="F1163" s="338">
        <f>[2]Hardas!$E$12</f>
        <v>82000</v>
      </c>
      <c r="G1163" s="338">
        <f>F1163*B1163</f>
        <v>246000</v>
      </c>
      <c r="H1163" s="338"/>
      <c r="I1163" s="339"/>
    </row>
    <row r="1164" spans="1:9" hidden="1">
      <c r="A1164" s="334"/>
      <c r="B1164" s="335">
        <v>0.6</v>
      </c>
      <c r="C1164" s="336" t="s">
        <v>511</v>
      </c>
      <c r="D1164" s="336" t="s">
        <v>6</v>
      </c>
      <c r="E1164" s="336"/>
      <c r="F1164" s="338">
        <f>[2]Hardas!$E$21</f>
        <v>59000</v>
      </c>
      <c r="G1164" s="338">
        <f>F1164*B1164</f>
        <v>35400</v>
      </c>
      <c r="H1164" s="338"/>
      <c r="I1164" s="339"/>
    </row>
    <row r="1165" spans="1:9" hidden="1">
      <c r="A1165" s="329"/>
      <c r="B1165" s="330"/>
      <c r="C1165" s="331"/>
      <c r="D1165" s="331"/>
      <c r="E1165" s="331" t="s">
        <v>405</v>
      </c>
      <c r="F1165" s="332"/>
      <c r="G1165" s="332"/>
      <c r="H1165" s="332"/>
      <c r="I1165" s="333">
        <f>SUM(G1161:G1165)</f>
        <v>309470</v>
      </c>
    </row>
    <row r="1166" spans="1:9" hidden="1">
      <c r="A1166" s="334"/>
      <c r="B1166" s="335"/>
      <c r="C1166" s="336"/>
      <c r="D1166" s="336"/>
      <c r="E1166" s="336"/>
      <c r="F1166" s="338"/>
      <c r="G1166" s="338"/>
      <c r="H1166" s="338"/>
      <c r="I1166" s="339"/>
    </row>
    <row r="1167" spans="1:9" hidden="1">
      <c r="A1167" s="334"/>
      <c r="B1167" s="335">
        <v>96</v>
      </c>
      <c r="C1167" s="336" t="s">
        <v>30</v>
      </c>
      <c r="D1167" s="336" t="s">
        <v>38</v>
      </c>
      <c r="E1167" s="336"/>
      <c r="F1167" s="338">
        <f>[2]Hardas!$E$72</f>
        <v>105540</v>
      </c>
      <c r="G1167" s="338"/>
      <c r="H1167" s="338">
        <f>F1167*B1167</f>
        <v>10131840</v>
      </c>
      <c r="I1167" s="339"/>
    </row>
    <row r="1168" spans="1:9" hidden="1">
      <c r="A1168" s="334"/>
      <c r="B1168" s="335">
        <v>96</v>
      </c>
      <c r="C1168" s="336" t="s">
        <v>30</v>
      </c>
      <c r="D1168" s="336" t="s">
        <v>533</v>
      </c>
      <c r="E1168" s="336"/>
      <c r="F1168" s="338">
        <f>[2]Hardas!$E$94</f>
        <v>5450</v>
      </c>
      <c r="G1168" s="338"/>
      <c r="H1168" s="338">
        <f>F1168*B1168</f>
        <v>523200</v>
      </c>
      <c r="I1168" s="339"/>
    </row>
    <row r="1169" spans="1:9" hidden="1">
      <c r="A1169" s="329"/>
      <c r="B1169" s="330"/>
      <c r="C1169" s="331"/>
      <c r="D1169" s="331"/>
      <c r="E1169" s="331" t="s">
        <v>410</v>
      </c>
      <c r="F1169" s="332"/>
      <c r="G1169" s="332"/>
      <c r="H1169" s="332"/>
      <c r="I1169" s="333">
        <f>SUM(H1167:H1169)</f>
        <v>10655040</v>
      </c>
    </row>
    <row r="1170" spans="1:9" hidden="1">
      <c r="A1170" s="334"/>
      <c r="B1170" s="335"/>
      <c r="C1170" s="336"/>
      <c r="D1170" s="336"/>
      <c r="E1170" s="336"/>
      <c r="F1170" s="338"/>
      <c r="G1170" s="338"/>
      <c r="H1170" s="338"/>
      <c r="I1170" s="339"/>
    </row>
    <row r="1171" spans="1:9" hidden="1">
      <c r="A1171" s="334"/>
      <c r="B1171" s="335"/>
      <c r="C1171" s="336"/>
      <c r="D1171" s="336"/>
      <c r="E1171" s="336"/>
      <c r="F1171" s="338"/>
      <c r="G1171" s="338"/>
      <c r="H1171" s="338"/>
      <c r="I1171" s="339"/>
    </row>
    <row r="1172" spans="1:9" hidden="1">
      <c r="A1172" s="334"/>
      <c r="B1172" s="335"/>
      <c r="C1172" s="336"/>
      <c r="D1172" s="336"/>
      <c r="E1172" s="336"/>
      <c r="F1172" s="338"/>
      <c r="G1172" s="338"/>
      <c r="H1172" s="338"/>
      <c r="I1172" s="339"/>
    </row>
    <row r="1173" spans="1:9" hidden="1">
      <c r="A1173" s="329"/>
      <c r="B1173" s="330"/>
      <c r="C1173" s="331"/>
      <c r="D1173" s="331"/>
      <c r="E1173" s="331" t="s">
        <v>411</v>
      </c>
      <c r="F1173" s="332"/>
      <c r="G1173" s="332"/>
      <c r="H1173" s="332"/>
      <c r="I1173" s="333"/>
    </row>
    <row r="1174" spans="1:9" hidden="1">
      <c r="A1174" s="329"/>
      <c r="B1174" s="330"/>
      <c r="C1174" s="331"/>
      <c r="D1174" s="331" t="s">
        <v>412</v>
      </c>
      <c r="E1174" s="331"/>
      <c r="F1174" s="332"/>
      <c r="G1174" s="332"/>
      <c r="H1174" s="332"/>
      <c r="I1174" s="333">
        <f>SUM(I1161:I1173)</f>
        <v>10964510</v>
      </c>
    </row>
    <row r="1175" spans="1:9" hidden="1">
      <c r="A1175" s="329"/>
      <c r="B1175" s="330"/>
      <c r="C1175" s="331"/>
      <c r="D1175" s="331" t="s">
        <v>413</v>
      </c>
      <c r="E1175" s="331"/>
      <c r="F1175" s="332"/>
      <c r="G1175" s="332"/>
      <c r="H1175" s="332"/>
      <c r="I1175" s="333">
        <f>I1174*0.1</f>
        <v>1096451</v>
      </c>
    </row>
    <row r="1176" spans="1:9" hidden="1">
      <c r="A1176" s="385"/>
      <c r="B1176" s="361"/>
      <c r="C1176" s="362"/>
      <c r="D1176" s="363" t="s">
        <v>414</v>
      </c>
      <c r="E1176" s="362"/>
      <c r="F1176" s="364"/>
      <c r="G1176" s="364"/>
      <c r="H1176" s="364"/>
      <c r="I1176" s="365">
        <f>ROUNDDOWN(I1175+I1174,0)</f>
        <v>12060961</v>
      </c>
    </row>
    <row r="1177" spans="1:9" ht="13.5" hidden="1" thickBot="1">
      <c r="A1177" s="386"/>
      <c r="B1177" s="367"/>
      <c r="C1177" s="368"/>
      <c r="D1177" s="369"/>
      <c r="E1177" s="368"/>
      <c r="F1177" s="370"/>
      <c r="G1177" s="370"/>
      <c r="H1177" s="370"/>
      <c r="I1177" s="371"/>
    </row>
    <row r="1178" spans="1:9" ht="14.25" hidden="1" thickTop="1" thickBot="1">
      <c r="A1178" s="309" t="s">
        <v>0</v>
      </c>
      <c r="B1178" s="380" t="s">
        <v>397</v>
      </c>
      <c r="C1178" s="310" t="s">
        <v>398</v>
      </c>
      <c r="D1178" s="310" t="s">
        <v>1</v>
      </c>
      <c r="E1178" s="311"/>
      <c r="F1178" s="381" t="s">
        <v>399</v>
      </c>
      <c r="G1178" s="381" t="s">
        <v>400</v>
      </c>
      <c r="H1178" s="381" t="s">
        <v>401</v>
      </c>
      <c r="I1178" s="382" t="s">
        <v>402</v>
      </c>
    </row>
    <row r="1179" spans="1:9" ht="13.5" hidden="1" thickTop="1">
      <c r="A1179" s="351">
        <v>61</v>
      </c>
      <c r="B1179" s="352" t="s">
        <v>542</v>
      </c>
      <c r="C1179" s="353"/>
      <c r="D1179" s="353"/>
      <c r="E1179" s="353"/>
      <c r="F1179" s="354"/>
      <c r="G1179" s="354"/>
      <c r="H1179" s="354"/>
      <c r="I1179" s="355"/>
    </row>
    <row r="1180" spans="1:9" hidden="1">
      <c r="A1180" s="334"/>
      <c r="B1180" s="335">
        <v>3.5000000000000003E-2</v>
      </c>
      <c r="C1180" s="336" t="s">
        <v>511</v>
      </c>
      <c r="D1180" s="336" t="s">
        <v>3</v>
      </c>
      <c r="E1180" s="336"/>
      <c r="F1180" s="337">
        <f>[2]Hardas!$E$10</f>
        <v>100000</v>
      </c>
      <c r="G1180" s="338">
        <f>F1180*B1180</f>
        <v>3500.0000000000005</v>
      </c>
      <c r="H1180" s="338"/>
      <c r="I1180" s="339"/>
    </row>
    <row r="1181" spans="1:9" hidden="1">
      <c r="A1181" s="334"/>
      <c r="B1181" s="335">
        <v>0.27</v>
      </c>
      <c r="C1181" s="336" t="s">
        <v>511</v>
      </c>
      <c r="D1181" s="336" t="s">
        <v>4</v>
      </c>
      <c r="E1181" s="336"/>
      <c r="F1181" s="338">
        <f>[2]Hardas!$E$11</f>
        <v>91000</v>
      </c>
      <c r="G1181" s="338">
        <f>F1181*B1181</f>
        <v>24570</v>
      </c>
      <c r="H1181" s="338"/>
      <c r="I1181" s="339"/>
    </row>
    <row r="1182" spans="1:9" hidden="1">
      <c r="A1182" s="334"/>
      <c r="B1182" s="335">
        <v>3</v>
      </c>
      <c r="C1182" s="336" t="s">
        <v>511</v>
      </c>
      <c r="D1182" s="336" t="s">
        <v>10</v>
      </c>
      <c r="E1182" s="336"/>
      <c r="F1182" s="338">
        <f>[2]Hardas!$E$12</f>
        <v>82000</v>
      </c>
      <c r="G1182" s="338">
        <f>F1182*B1182</f>
        <v>246000</v>
      </c>
      <c r="H1182" s="338"/>
      <c r="I1182" s="339"/>
    </row>
    <row r="1183" spans="1:9" hidden="1">
      <c r="A1183" s="334"/>
      <c r="B1183" s="335">
        <v>0.6</v>
      </c>
      <c r="C1183" s="336" t="s">
        <v>511</v>
      </c>
      <c r="D1183" s="336" t="s">
        <v>6</v>
      </c>
      <c r="E1183" s="336"/>
      <c r="F1183" s="338">
        <f>[2]Hardas!$E$21</f>
        <v>59000</v>
      </c>
      <c r="G1183" s="338">
        <f>F1183*B1183</f>
        <v>35400</v>
      </c>
      <c r="H1183" s="338"/>
      <c r="I1183" s="339"/>
    </row>
    <row r="1184" spans="1:9" hidden="1">
      <c r="A1184" s="329"/>
      <c r="B1184" s="330"/>
      <c r="C1184" s="331"/>
      <c r="D1184" s="331"/>
      <c r="E1184" s="331" t="s">
        <v>405</v>
      </c>
      <c r="F1184" s="332"/>
      <c r="G1184" s="332"/>
      <c r="H1184" s="332"/>
      <c r="I1184" s="333">
        <f>SUM(G1180:G1184)</f>
        <v>309470</v>
      </c>
    </row>
    <row r="1185" spans="1:9" hidden="1">
      <c r="A1185" s="334"/>
      <c r="B1185" s="335"/>
      <c r="C1185" s="336"/>
      <c r="D1185" s="336"/>
      <c r="E1185" s="336"/>
      <c r="F1185" s="338"/>
      <c r="G1185" s="338"/>
      <c r="H1185" s="338"/>
      <c r="I1185" s="339"/>
    </row>
    <row r="1186" spans="1:9" hidden="1">
      <c r="A1186" s="334"/>
      <c r="B1186" s="335">
        <v>45</v>
      </c>
      <c r="C1186" s="336" t="s">
        <v>30</v>
      </c>
      <c r="D1186" s="336" t="s">
        <v>38</v>
      </c>
      <c r="E1186" s="336"/>
      <c r="F1186" s="338">
        <f>[2]Hardas!$E$72</f>
        <v>105540</v>
      </c>
      <c r="G1186" s="338"/>
      <c r="H1186" s="338">
        <f>F1186*B1186</f>
        <v>4749300</v>
      </c>
      <c r="I1186" s="339"/>
    </row>
    <row r="1187" spans="1:9" hidden="1">
      <c r="A1187" s="334"/>
      <c r="B1187" s="335">
        <v>45</v>
      </c>
      <c r="C1187" s="336" t="s">
        <v>30</v>
      </c>
      <c r="D1187" s="336" t="s">
        <v>533</v>
      </c>
      <c r="E1187" s="336"/>
      <c r="F1187" s="338">
        <f>[2]Hardas!$E$94</f>
        <v>5450</v>
      </c>
      <c r="G1187" s="338"/>
      <c r="H1187" s="338">
        <f>F1187*B1187</f>
        <v>245250</v>
      </c>
      <c r="I1187" s="339"/>
    </row>
    <row r="1188" spans="1:9" hidden="1">
      <c r="A1188" s="329"/>
      <c r="B1188" s="330"/>
      <c r="C1188" s="331"/>
      <c r="D1188" s="331"/>
      <c r="E1188" s="331" t="s">
        <v>410</v>
      </c>
      <c r="F1188" s="332"/>
      <c r="G1188" s="332"/>
      <c r="H1188" s="332"/>
      <c r="I1188" s="333">
        <f>SUM(H1186:H1188)</f>
        <v>4994550</v>
      </c>
    </row>
    <row r="1189" spans="1:9" hidden="1">
      <c r="A1189" s="334"/>
      <c r="B1189" s="335"/>
      <c r="C1189" s="336"/>
      <c r="D1189" s="336"/>
      <c r="E1189" s="336"/>
      <c r="F1189" s="338"/>
      <c r="G1189" s="338"/>
      <c r="H1189" s="338"/>
      <c r="I1189" s="339"/>
    </row>
    <row r="1190" spans="1:9" hidden="1">
      <c r="A1190" s="334"/>
      <c r="B1190" s="335"/>
      <c r="C1190" s="336"/>
      <c r="D1190" s="336"/>
      <c r="E1190" s="336"/>
      <c r="F1190" s="338"/>
      <c r="G1190" s="338"/>
      <c r="H1190" s="338"/>
      <c r="I1190" s="339"/>
    </row>
    <row r="1191" spans="1:9" hidden="1">
      <c r="A1191" s="334"/>
      <c r="B1191" s="335"/>
      <c r="C1191" s="336"/>
      <c r="D1191" s="336"/>
      <c r="E1191" s="336"/>
      <c r="F1191" s="338"/>
      <c r="G1191" s="338"/>
      <c r="H1191" s="338"/>
      <c r="I1191" s="339"/>
    </row>
    <row r="1192" spans="1:9" hidden="1">
      <c r="A1192" s="329"/>
      <c r="B1192" s="330"/>
      <c r="C1192" s="331"/>
      <c r="D1192" s="331"/>
      <c r="E1192" s="331" t="s">
        <v>411</v>
      </c>
      <c r="F1192" s="332"/>
      <c r="G1192" s="332"/>
      <c r="H1192" s="332"/>
      <c r="I1192" s="333"/>
    </row>
    <row r="1193" spans="1:9" hidden="1">
      <c r="A1193" s="329"/>
      <c r="B1193" s="330"/>
      <c r="C1193" s="331"/>
      <c r="D1193" s="331" t="s">
        <v>412</v>
      </c>
      <c r="E1193" s="331"/>
      <c r="F1193" s="332"/>
      <c r="G1193" s="332"/>
      <c r="H1193" s="332"/>
      <c r="I1193" s="333">
        <f>SUM(I1180:I1192)</f>
        <v>5304020</v>
      </c>
    </row>
    <row r="1194" spans="1:9" hidden="1">
      <c r="A1194" s="329"/>
      <c r="B1194" s="330"/>
      <c r="C1194" s="331"/>
      <c r="D1194" s="331" t="s">
        <v>413</v>
      </c>
      <c r="E1194" s="331"/>
      <c r="F1194" s="332"/>
      <c r="G1194" s="332"/>
      <c r="H1194" s="332"/>
      <c r="I1194" s="333">
        <f>I1193*0.1</f>
        <v>530402</v>
      </c>
    </row>
    <row r="1195" spans="1:9" hidden="1">
      <c r="A1195" s="385"/>
      <c r="B1195" s="361"/>
      <c r="C1195" s="362"/>
      <c r="D1195" s="363" t="s">
        <v>414</v>
      </c>
      <c r="E1195" s="362"/>
      <c r="F1195" s="364"/>
      <c r="G1195" s="364"/>
      <c r="H1195" s="364"/>
      <c r="I1195" s="365">
        <f>ROUNDDOWN(I1194+I1193,0)</f>
        <v>5834422</v>
      </c>
    </row>
    <row r="1196" spans="1:9" ht="13.5" hidden="1" thickBot="1">
      <c r="A1196" s="386"/>
      <c r="B1196" s="367"/>
      <c r="C1196" s="368"/>
      <c r="D1196" s="369"/>
      <c r="E1196" s="368"/>
      <c r="F1196" s="370"/>
      <c r="G1196" s="370"/>
      <c r="H1196" s="370"/>
      <c r="I1196" s="371"/>
    </row>
    <row r="1197" spans="1:9" ht="14.25" hidden="1" thickTop="1" thickBot="1">
      <c r="A1197" s="309" t="s">
        <v>0</v>
      </c>
      <c r="B1197" s="380" t="s">
        <v>397</v>
      </c>
      <c r="C1197" s="310" t="s">
        <v>398</v>
      </c>
      <c r="D1197" s="310" t="s">
        <v>1</v>
      </c>
      <c r="E1197" s="311"/>
      <c r="F1197" s="381" t="s">
        <v>399</v>
      </c>
      <c r="G1197" s="381" t="s">
        <v>400</v>
      </c>
      <c r="H1197" s="381" t="s">
        <v>401</v>
      </c>
      <c r="I1197" s="382" t="s">
        <v>402</v>
      </c>
    </row>
    <row r="1198" spans="1:9" ht="13.5" hidden="1" thickTop="1">
      <c r="A1198" s="351">
        <v>62</v>
      </c>
      <c r="B1198" s="352" t="s">
        <v>543</v>
      </c>
      <c r="C1198" s="353"/>
      <c r="D1198" s="353"/>
      <c r="E1198" s="353"/>
      <c r="F1198" s="354"/>
      <c r="G1198" s="354"/>
      <c r="H1198" s="354"/>
      <c r="I1198" s="355"/>
    </row>
    <row r="1199" spans="1:9" hidden="1">
      <c r="A1199" s="334"/>
      <c r="B1199" s="335">
        <v>3.5000000000000003E-2</v>
      </c>
      <c r="C1199" s="336" t="s">
        <v>511</v>
      </c>
      <c r="D1199" s="336" t="s">
        <v>3</v>
      </c>
      <c r="E1199" s="336"/>
      <c r="F1199" s="337">
        <f>[2]Hardas!$E$10</f>
        <v>100000</v>
      </c>
      <c r="G1199" s="338">
        <f>F1199*B1199</f>
        <v>3500.0000000000005</v>
      </c>
      <c r="H1199" s="338"/>
      <c r="I1199" s="339"/>
    </row>
    <row r="1200" spans="1:9" hidden="1">
      <c r="A1200" s="334"/>
      <c r="B1200" s="335">
        <v>0.27</v>
      </c>
      <c r="C1200" s="336" t="s">
        <v>511</v>
      </c>
      <c r="D1200" s="336" t="s">
        <v>4</v>
      </c>
      <c r="E1200" s="336"/>
      <c r="F1200" s="338">
        <f>[2]Hardas!$E$11</f>
        <v>91000</v>
      </c>
      <c r="G1200" s="338">
        <f>F1200*B1200</f>
        <v>24570</v>
      </c>
      <c r="H1200" s="338"/>
      <c r="I1200" s="339"/>
    </row>
    <row r="1201" spans="1:9" hidden="1">
      <c r="A1201" s="334"/>
      <c r="B1201" s="335">
        <v>3</v>
      </c>
      <c r="C1201" s="336" t="s">
        <v>511</v>
      </c>
      <c r="D1201" s="336" t="s">
        <v>10</v>
      </c>
      <c r="E1201" s="336"/>
      <c r="F1201" s="338">
        <f>[2]Hardas!$E$12</f>
        <v>82000</v>
      </c>
      <c r="G1201" s="338">
        <f>F1201*B1201</f>
        <v>246000</v>
      </c>
      <c r="H1201" s="338"/>
      <c r="I1201" s="339"/>
    </row>
    <row r="1202" spans="1:9" hidden="1">
      <c r="A1202" s="334"/>
      <c r="B1202" s="335">
        <v>0.6</v>
      </c>
      <c r="C1202" s="336" t="s">
        <v>511</v>
      </c>
      <c r="D1202" s="336" t="s">
        <v>6</v>
      </c>
      <c r="E1202" s="336"/>
      <c r="F1202" s="338">
        <f>[2]Hardas!$E$21</f>
        <v>59000</v>
      </c>
      <c r="G1202" s="338">
        <f>F1202*B1202</f>
        <v>35400</v>
      </c>
      <c r="H1202" s="338"/>
      <c r="I1202" s="339"/>
    </row>
    <row r="1203" spans="1:9" hidden="1">
      <c r="A1203" s="329"/>
      <c r="B1203" s="330"/>
      <c r="C1203" s="331"/>
      <c r="D1203" s="331"/>
      <c r="E1203" s="331" t="s">
        <v>405</v>
      </c>
      <c r="F1203" s="332"/>
      <c r="G1203" s="332"/>
      <c r="H1203" s="332"/>
      <c r="I1203" s="333">
        <f>SUM(G1199:G1203)</f>
        <v>309470</v>
      </c>
    </row>
    <row r="1204" spans="1:9" hidden="1">
      <c r="A1204" s="334"/>
      <c r="B1204" s="335"/>
      <c r="C1204" s="336"/>
      <c r="D1204" s="336"/>
      <c r="E1204" s="336"/>
      <c r="F1204" s="338"/>
      <c r="G1204" s="338"/>
      <c r="H1204" s="338"/>
      <c r="I1204" s="339"/>
    </row>
    <row r="1205" spans="1:9" hidden="1">
      <c r="A1205" s="334"/>
      <c r="B1205" s="335">
        <v>135</v>
      </c>
      <c r="C1205" s="336" t="s">
        <v>30</v>
      </c>
      <c r="D1205" s="336" t="s">
        <v>38</v>
      </c>
      <c r="E1205" s="336"/>
      <c r="F1205" s="338">
        <f>[2]Hardas!$E$72</f>
        <v>105540</v>
      </c>
      <c r="G1205" s="338"/>
      <c r="H1205" s="338">
        <f>F1205*B1205</f>
        <v>14247900</v>
      </c>
      <c r="I1205" s="339"/>
    </row>
    <row r="1206" spans="1:9" hidden="1">
      <c r="A1206" s="334"/>
      <c r="B1206" s="335">
        <v>135</v>
      </c>
      <c r="C1206" s="336" t="s">
        <v>30</v>
      </c>
      <c r="D1206" s="336" t="s">
        <v>533</v>
      </c>
      <c r="E1206" s="336"/>
      <c r="F1206" s="338">
        <f>[2]Hardas!$E$94</f>
        <v>5450</v>
      </c>
      <c r="G1206" s="338"/>
      <c r="H1206" s="338">
        <f>F1206*B1206</f>
        <v>735750</v>
      </c>
      <c r="I1206" s="339"/>
    </row>
    <row r="1207" spans="1:9" hidden="1">
      <c r="A1207" s="329"/>
      <c r="B1207" s="330"/>
      <c r="C1207" s="331"/>
      <c r="D1207" s="331"/>
      <c r="E1207" s="331" t="s">
        <v>410</v>
      </c>
      <c r="F1207" s="332"/>
      <c r="G1207" s="332"/>
      <c r="H1207" s="332"/>
      <c r="I1207" s="333">
        <f>SUM(H1205:H1207)</f>
        <v>14983650</v>
      </c>
    </row>
    <row r="1208" spans="1:9" hidden="1">
      <c r="A1208" s="334"/>
      <c r="B1208" s="335"/>
      <c r="C1208" s="336"/>
      <c r="D1208" s="336"/>
      <c r="E1208" s="336"/>
      <c r="F1208" s="338"/>
      <c r="G1208" s="338"/>
      <c r="H1208" s="338"/>
      <c r="I1208" s="339"/>
    </row>
    <row r="1209" spans="1:9" hidden="1">
      <c r="A1209" s="334"/>
      <c r="B1209" s="335"/>
      <c r="C1209" s="336"/>
      <c r="D1209" s="336"/>
      <c r="E1209" s="336"/>
      <c r="F1209" s="338"/>
      <c r="G1209" s="338"/>
      <c r="H1209" s="338"/>
      <c r="I1209" s="339"/>
    </row>
    <row r="1210" spans="1:9" hidden="1">
      <c r="A1210" s="334"/>
      <c r="B1210" s="335"/>
      <c r="C1210" s="336"/>
      <c r="D1210" s="336"/>
      <c r="E1210" s="336"/>
      <c r="F1210" s="338"/>
      <c r="G1210" s="338"/>
      <c r="H1210" s="338"/>
      <c r="I1210" s="339"/>
    </row>
    <row r="1211" spans="1:9" hidden="1">
      <c r="A1211" s="329"/>
      <c r="B1211" s="330"/>
      <c r="C1211" s="331"/>
      <c r="D1211" s="331"/>
      <c r="E1211" s="331" t="s">
        <v>411</v>
      </c>
      <c r="F1211" s="332"/>
      <c r="G1211" s="332"/>
      <c r="H1211" s="332"/>
      <c r="I1211" s="333"/>
    </row>
    <row r="1212" spans="1:9" hidden="1">
      <c r="A1212" s="329"/>
      <c r="B1212" s="330"/>
      <c r="C1212" s="331"/>
      <c r="D1212" s="331" t="s">
        <v>412</v>
      </c>
      <c r="E1212" s="331"/>
      <c r="F1212" s="332"/>
      <c r="G1212" s="332"/>
      <c r="H1212" s="332"/>
      <c r="I1212" s="333">
        <f>SUM(I1199:I1211)</f>
        <v>15293120</v>
      </c>
    </row>
    <row r="1213" spans="1:9" hidden="1">
      <c r="A1213" s="329"/>
      <c r="B1213" s="330"/>
      <c r="C1213" s="331"/>
      <c r="D1213" s="331" t="s">
        <v>413</v>
      </c>
      <c r="E1213" s="331"/>
      <c r="F1213" s="332"/>
      <c r="G1213" s="332"/>
      <c r="H1213" s="332"/>
      <c r="I1213" s="333">
        <f>I1212*0.1</f>
        <v>1529312</v>
      </c>
    </row>
    <row r="1214" spans="1:9" hidden="1">
      <c r="A1214" s="385"/>
      <c r="B1214" s="361"/>
      <c r="C1214" s="362"/>
      <c r="D1214" s="363" t="s">
        <v>414</v>
      </c>
      <c r="E1214" s="362"/>
      <c r="F1214" s="364"/>
      <c r="G1214" s="364"/>
      <c r="H1214" s="364"/>
      <c r="I1214" s="365">
        <f>ROUNDDOWN(I1213+I1212,0)</f>
        <v>16822432</v>
      </c>
    </row>
    <row r="1215" spans="1:9" ht="13.5" hidden="1" thickBot="1">
      <c r="A1215" s="386"/>
      <c r="B1215" s="367"/>
      <c r="C1215" s="368"/>
      <c r="D1215" s="369"/>
      <c r="E1215" s="368"/>
      <c r="F1215" s="370"/>
      <c r="G1215" s="370"/>
      <c r="H1215" s="370"/>
      <c r="I1215" s="371"/>
    </row>
    <row r="1216" spans="1:9" ht="14.25" hidden="1" thickTop="1" thickBot="1">
      <c r="A1216" s="309" t="s">
        <v>0</v>
      </c>
      <c r="B1216" s="380" t="s">
        <v>397</v>
      </c>
      <c r="C1216" s="310" t="s">
        <v>398</v>
      </c>
      <c r="D1216" s="310" t="s">
        <v>1</v>
      </c>
      <c r="E1216" s="311"/>
      <c r="F1216" s="381" t="s">
        <v>399</v>
      </c>
      <c r="G1216" s="381" t="s">
        <v>400</v>
      </c>
      <c r="H1216" s="381" t="s">
        <v>401</v>
      </c>
      <c r="I1216" s="382" t="s">
        <v>402</v>
      </c>
    </row>
    <row r="1217" spans="1:9" ht="13.5" hidden="1" thickTop="1">
      <c r="A1217" s="351">
        <v>63</v>
      </c>
      <c r="B1217" s="352" t="s">
        <v>544</v>
      </c>
      <c r="C1217" s="353"/>
      <c r="D1217" s="353"/>
      <c r="E1217" s="353"/>
      <c r="F1217" s="354"/>
      <c r="G1217" s="354"/>
      <c r="H1217" s="354"/>
      <c r="I1217" s="355"/>
    </row>
    <row r="1218" spans="1:9" hidden="1">
      <c r="A1218" s="334"/>
      <c r="B1218" s="335">
        <v>3.5000000000000003E-2</v>
      </c>
      <c r="C1218" s="336" t="s">
        <v>511</v>
      </c>
      <c r="D1218" s="336" t="s">
        <v>3</v>
      </c>
      <c r="E1218" s="336"/>
      <c r="F1218" s="337">
        <f>[2]Hardas!$E$10</f>
        <v>100000</v>
      </c>
      <c r="G1218" s="338">
        <f>F1218*B1218</f>
        <v>3500.0000000000005</v>
      </c>
      <c r="H1218" s="338"/>
      <c r="I1218" s="339"/>
    </row>
    <row r="1219" spans="1:9" hidden="1">
      <c r="A1219" s="334"/>
      <c r="B1219" s="335">
        <v>0.27</v>
      </c>
      <c r="C1219" s="336" t="s">
        <v>511</v>
      </c>
      <c r="D1219" s="336" t="s">
        <v>4</v>
      </c>
      <c r="E1219" s="336"/>
      <c r="F1219" s="338">
        <f>[2]Hardas!$E$11</f>
        <v>91000</v>
      </c>
      <c r="G1219" s="338">
        <f>F1219*B1219</f>
        <v>24570</v>
      </c>
      <c r="H1219" s="338"/>
      <c r="I1219" s="339"/>
    </row>
    <row r="1220" spans="1:9" hidden="1">
      <c r="A1220" s="334"/>
      <c r="B1220" s="335">
        <v>3</v>
      </c>
      <c r="C1220" s="336" t="s">
        <v>511</v>
      </c>
      <c r="D1220" s="336" t="s">
        <v>10</v>
      </c>
      <c r="E1220" s="336"/>
      <c r="F1220" s="338">
        <f>[2]Hardas!$E$12</f>
        <v>82000</v>
      </c>
      <c r="G1220" s="338">
        <f>F1220*B1220</f>
        <v>246000</v>
      </c>
      <c r="H1220" s="338"/>
      <c r="I1220" s="339"/>
    </row>
    <row r="1221" spans="1:9" hidden="1">
      <c r="A1221" s="334"/>
      <c r="B1221" s="335">
        <v>0.6</v>
      </c>
      <c r="C1221" s="336" t="s">
        <v>511</v>
      </c>
      <c r="D1221" s="336" t="s">
        <v>6</v>
      </c>
      <c r="E1221" s="336"/>
      <c r="F1221" s="338">
        <f>[2]Hardas!$E$21</f>
        <v>59000</v>
      </c>
      <c r="G1221" s="338">
        <f>F1221*B1221</f>
        <v>35400</v>
      </c>
      <c r="H1221" s="338"/>
      <c r="I1221" s="339"/>
    </row>
    <row r="1222" spans="1:9" hidden="1">
      <c r="A1222" s="329"/>
      <c r="B1222" s="330"/>
      <c r="C1222" s="331"/>
      <c r="D1222" s="331"/>
      <c r="E1222" s="331" t="s">
        <v>405</v>
      </c>
      <c r="F1222" s="332"/>
      <c r="G1222" s="332"/>
      <c r="H1222" s="332"/>
      <c r="I1222" s="333">
        <f>SUM(G1218:G1222)</f>
        <v>309470</v>
      </c>
    </row>
    <row r="1223" spans="1:9" hidden="1">
      <c r="A1223" s="334"/>
      <c r="B1223" s="335"/>
      <c r="C1223" s="336"/>
      <c r="D1223" s="336"/>
      <c r="E1223" s="336"/>
      <c r="F1223" s="338"/>
      <c r="G1223" s="338"/>
      <c r="H1223" s="338"/>
      <c r="I1223" s="339"/>
    </row>
    <row r="1224" spans="1:9" hidden="1">
      <c r="A1224" s="334"/>
      <c r="B1224" s="335">
        <f>9*2</f>
        <v>18</v>
      </c>
      <c r="C1224" s="336" t="s">
        <v>30</v>
      </c>
      <c r="D1224" s="336" t="s">
        <v>38</v>
      </c>
      <c r="E1224" s="336"/>
      <c r="F1224" s="338">
        <f>[2]Hardas!$E$72</f>
        <v>105540</v>
      </c>
      <c r="G1224" s="338"/>
      <c r="H1224" s="338">
        <f>F1224*B1224</f>
        <v>1899720</v>
      </c>
      <c r="I1224" s="339"/>
    </row>
    <row r="1225" spans="1:9" hidden="1">
      <c r="A1225" s="334"/>
      <c r="B1225" s="335">
        <f>9*2</f>
        <v>18</v>
      </c>
      <c r="C1225" s="336" t="s">
        <v>30</v>
      </c>
      <c r="D1225" s="336" t="s">
        <v>533</v>
      </c>
      <c r="E1225" s="336"/>
      <c r="F1225" s="338">
        <f>[2]Hardas!$E$94</f>
        <v>5450</v>
      </c>
      <c r="G1225" s="338"/>
      <c r="H1225" s="338">
        <f>F1225*B1225</f>
        <v>98100</v>
      </c>
      <c r="I1225" s="339"/>
    </row>
    <row r="1226" spans="1:9" hidden="1">
      <c r="A1226" s="329"/>
      <c r="B1226" s="330"/>
      <c r="C1226" s="331"/>
      <c r="D1226" s="331"/>
      <c r="E1226" s="331" t="s">
        <v>410</v>
      </c>
      <c r="F1226" s="332"/>
      <c r="G1226" s="332"/>
      <c r="H1226" s="332"/>
      <c r="I1226" s="333">
        <f>SUM(H1224:H1226)</f>
        <v>1997820</v>
      </c>
    </row>
    <row r="1227" spans="1:9" hidden="1">
      <c r="A1227" s="334"/>
      <c r="B1227" s="335"/>
      <c r="C1227" s="336"/>
      <c r="D1227" s="336"/>
      <c r="E1227" s="336"/>
      <c r="F1227" s="338"/>
      <c r="G1227" s="338"/>
      <c r="H1227" s="338"/>
      <c r="I1227" s="339"/>
    </row>
    <row r="1228" spans="1:9" hidden="1">
      <c r="A1228" s="334"/>
      <c r="B1228" s="335"/>
      <c r="C1228" s="336"/>
      <c r="D1228" s="336"/>
      <c r="E1228" s="336"/>
      <c r="F1228" s="338"/>
      <c r="G1228" s="338"/>
      <c r="H1228" s="338"/>
      <c r="I1228" s="339"/>
    </row>
    <row r="1229" spans="1:9" hidden="1">
      <c r="A1229" s="334"/>
      <c r="B1229" s="335"/>
      <c r="C1229" s="336"/>
      <c r="D1229" s="336"/>
      <c r="E1229" s="336"/>
      <c r="F1229" s="338"/>
      <c r="G1229" s="338"/>
      <c r="H1229" s="338"/>
      <c r="I1229" s="339"/>
    </row>
    <row r="1230" spans="1:9" hidden="1">
      <c r="A1230" s="329"/>
      <c r="B1230" s="330"/>
      <c r="C1230" s="331"/>
      <c r="D1230" s="331"/>
      <c r="E1230" s="331" t="s">
        <v>411</v>
      </c>
      <c r="F1230" s="332"/>
      <c r="G1230" s="332"/>
      <c r="H1230" s="332"/>
      <c r="I1230" s="333">
        <f>SUM(G1229:G1230)</f>
        <v>0</v>
      </c>
    </row>
    <row r="1231" spans="1:9" hidden="1">
      <c r="A1231" s="329"/>
      <c r="B1231" s="330"/>
      <c r="C1231" s="331"/>
      <c r="D1231" s="331" t="s">
        <v>412</v>
      </c>
      <c r="E1231" s="331"/>
      <c r="F1231" s="332"/>
      <c r="G1231" s="332"/>
      <c r="H1231" s="332"/>
      <c r="I1231" s="333">
        <f>SUM(I1218:I1230)</f>
        <v>2307290</v>
      </c>
    </row>
    <row r="1232" spans="1:9" hidden="1">
      <c r="A1232" s="329"/>
      <c r="B1232" s="330"/>
      <c r="C1232" s="331"/>
      <c r="D1232" s="331" t="s">
        <v>413</v>
      </c>
      <c r="E1232" s="331"/>
      <c r="F1232" s="332"/>
      <c r="G1232" s="332"/>
      <c r="H1232" s="332"/>
      <c r="I1232" s="333">
        <f>I1231*0.1</f>
        <v>230729</v>
      </c>
    </row>
    <row r="1233" spans="1:9" hidden="1">
      <c r="A1233" s="385"/>
      <c r="B1233" s="361"/>
      <c r="C1233" s="362"/>
      <c r="D1233" s="363" t="s">
        <v>414</v>
      </c>
      <c r="E1233" s="362"/>
      <c r="F1233" s="364"/>
      <c r="G1233" s="364"/>
      <c r="H1233" s="364"/>
      <c r="I1233" s="365">
        <f>ROUNDDOWN(I1232+I1231,0)</f>
        <v>2538019</v>
      </c>
    </row>
    <row r="1234" spans="1:9" ht="13.5" hidden="1" thickBot="1">
      <c r="A1234" s="386"/>
      <c r="B1234" s="367"/>
      <c r="C1234" s="368"/>
      <c r="D1234" s="369"/>
      <c r="E1234" s="368"/>
      <c r="F1234" s="370"/>
      <c r="G1234" s="370"/>
      <c r="H1234" s="370"/>
      <c r="I1234" s="371"/>
    </row>
    <row r="1235" spans="1:9" ht="14.25" hidden="1" thickTop="1" thickBot="1">
      <c r="A1235" s="309" t="s">
        <v>0</v>
      </c>
      <c r="B1235" s="380" t="s">
        <v>397</v>
      </c>
      <c r="C1235" s="310" t="s">
        <v>398</v>
      </c>
      <c r="D1235" s="310" t="s">
        <v>1</v>
      </c>
      <c r="E1235" s="311"/>
      <c r="F1235" s="381" t="s">
        <v>399</v>
      </c>
      <c r="G1235" s="381" t="s">
        <v>400</v>
      </c>
      <c r="H1235" s="381" t="s">
        <v>401</v>
      </c>
      <c r="I1235" s="382" t="s">
        <v>402</v>
      </c>
    </row>
    <row r="1236" spans="1:9" ht="13.5" hidden="1" thickTop="1">
      <c r="A1236" s="351">
        <v>64</v>
      </c>
      <c r="B1236" s="352" t="s">
        <v>545</v>
      </c>
      <c r="C1236" s="353"/>
      <c r="D1236" s="353"/>
      <c r="E1236" s="353"/>
      <c r="F1236" s="354"/>
      <c r="G1236" s="354"/>
      <c r="H1236" s="354"/>
      <c r="I1236" s="355"/>
    </row>
    <row r="1237" spans="1:9" hidden="1">
      <c r="A1237" s="334"/>
      <c r="B1237" s="335">
        <v>3.5000000000000003E-2</v>
      </c>
      <c r="C1237" s="336" t="s">
        <v>511</v>
      </c>
      <c r="D1237" s="336" t="s">
        <v>3</v>
      </c>
      <c r="E1237" s="336"/>
      <c r="F1237" s="337">
        <f>[2]Hardas!$E$10</f>
        <v>100000</v>
      </c>
      <c r="G1237" s="338">
        <f>F1237*B1237</f>
        <v>3500.0000000000005</v>
      </c>
      <c r="H1237" s="338"/>
      <c r="I1237" s="339"/>
    </row>
    <row r="1238" spans="1:9" hidden="1">
      <c r="A1238" s="334"/>
      <c r="B1238" s="335">
        <v>0.27</v>
      </c>
      <c r="C1238" s="336" t="s">
        <v>511</v>
      </c>
      <c r="D1238" s="336" t="s">
        <v>4</v>
      </c>
      <c r="E1238" s="336"/>
      <c r="F1238" s="338">
        <f>[2]Hardas!$E$11</f>
        <v>91000</v>
      </c>
      <c r="G1238" s="338">
        <f>F1238*B1238</f>
        <v>24570</v>
      </c>
      <c r="H1238" s="338"/>
      <c r="I1238" s="339"/>
    </row>
    <row r="1239" spans="1:9" hidden="1">
      <c r="A1239" s="334"/>
      <c r="B1239" s="335">
        <v>3</v>
      </c>
      <c r="C1239" s="336" t="s">
        <v>511</v>
      </c>
      <c r="D1239" s="336" t="s">
        <v>10</v>
      </c>
      <c r="E1239" s="336"/>
      <c r="F1239" s="338">
        <f>[2]Hardas!$E$12</f>
        <v>82000</v>
      </c>
      <c r="G1239" s="338">
        <f>F1239*B1239</f>
        <v>246000</v>
      </c>
      <c r="H1239" s="338"/>
      <c r="I1239" s="339"/>
    </row>
    <row r="1240" spans="1:9" hidden="1">
      <c r="A1240" s="334"/>
      <c r="B1240" s="335">
        <v>0.6</v>
      </c>
      <c r="C1240" s="336" t="s">
        <v>511</v>
      </c>
      <c r="D1240" s="336" t="s">
        <v>6</v>
      </c>
      <c r="E1240" s="336"/>
      <c r="F1240" s="338">
        <f>[2]Hardas!$E$21</f>
        <v>59000</v>
      </c>
      <c r="G1240" s="338">
        <f>F1240*B1240</f>
        <v>35400</v>
      </c>
      <c r="H1240" s="338"/>
      <c r="I1240" s="339"/>
    </row>
    <row r="1241" spans="1:9" hidden="1">
      <c r="A1241" s="329"/>
      <c r="B1241" s="330"/>
      <c r="C1241" s="331"/>
      <c r="D1241" s="331"/>
      <c r="E1241" s="331" t="s">
        <v>405</v>
      </c>
      <c r="F1241" s="332"/>
      <c r="G1241" s="332"/>
      <c r="H1241" s="332"/>
      <c r="I1241" s="333">
        <f>SUM(G1237:G1241)</f>
        <v>309470</v>
      </c>
    </row>
    <row r="1242" spans="1:9" hidden="1">
      <c r="A1242" s="334"/>
      <c r="B1242" s="335"/>
      <c r="C1242" s="336"/>
      <c r="D1242" s="336"/>
      <c r="E1242" s="336"/>
      <c r="F1242" s="338"/>
      <c r="G1242" s="338"/>
      <c r="H1242" s="338"/>
      <c r="I1242" s="339"/>
    </row>
    <row r="1243" spans="1:9" hidden="1">
      <c r="A1243" s="334"/>
      <c r="B1243" s="335">
        <f>15*2</f>
        <v>30</v>
      </c>
      <c r="C1243" s="336" t="s">
        <v>30</v>
      </c>
      <c r="D1243" s="336" t="s">
        <v>38</v>
      </c>
      <c r="E1243" s="336"/>
      <c r="F1243" s="338">
        <f>[2]Hardas!$E$72</f>
        <v>105540</v>
      </c>
      <c r="G1243" s="338"/>
      <c r="H1243" s="338">
        <f>F1243*B1243</f>
        <v>3166200</v>
      </c>
      <c r="I1243" s="339"/>
    </row>
    <row r="1244" spans="1:9" hidden="1">
      <c r="A1244" s="334"/>
      <c r="B1244" s="335">
        <f>15*2</f>
        <v>30</v>
      </c>
      <c r="C1244" s="336" t="s">
        <v>30</v>
      </c>
      <c r="D1244" s="336" t="s">
        <v>533</v>
      </c>
      <c r="E1244" s="336"/>
      <c r="F1244" s="338">
        <f>[2]Hardas!$E$94</f>
        <v>5450</v>
      </c>
      <c r="G1244" s="338"/>
      <c r="H1244" s="338">
        <f>F1244*B1244</f>
        <v>163500</v>
      </c>
      <c r="I1244" s="339"/>
    </row>
    <row r="1245" spans="1:9" hidden="1">
      <c r="A1245" s="329"/>
      <c r="B1245" s="330"/>
      <c r="C1245" s="331"/>
      <c r="D1245" s="331"/>
      <c r="E1245" s="331" t="s">
        <v>410</v>
      </c>
      <c r="F1245" s="332"/>
      <c r="G1245" s="332"/>
      <c r="H1245" s="332"/>
      <c r="I1245" s="333">
        <f>SUM(H1243:H1245)</f>
        <v>3329700</v>
      </c>
    </row>
    <row r="1246" spans="1:9" hidden="1">
      <c r="A1246" s="334"/>
      <c r="B1246" s="335"/>
      <c r="C1246" s="336"/>
      <c r="D1246" s="336"/>
      <c r="E1246" s="336"/>
      <c r="F1246" s="338"/>
      <c r="G1246" s="338"/>
      <c r="H1246" s="338"/>
      <c r="I1246" s="339"/>
    </row>
    <row r="1247" spans="1:9" hidden="1">
      <c r="A1247" s="334"/>
      <c r="B1247" s="335"/>
      <c r="C1247" s="336"/>
      <c r="D1247" s="336"/>
      <c r="E1247" s="336"/>
      <c r="F1247" s="338"/>
      <c r="G1247" s="338"/>
      <c r="H1247" s="338"/>
      <c r="I1247" s="339"/>
    </row>
    <row r="1248" spans="1:9" hidden="1">
      <c r="A1248" s="334"/>
      <c r="B1248" s="335"/>
      <c r="C1248" s="336"/>
      <c r="D1248" s="336"/>
      <c r="E1248" s="336"/>
      <c r="F1248" s="338"/>
      <c r="G1248" s="338"/>
      <c r="H1248" s="338"/>
      <c r="I1248" s="339"/>
    </row>
    <row r="1249" spans="1:9" hidden="1">
      <c r="A1249" s="329"/>
      <c r="B1249" s="330"/>
      <c r="C1249" s="331"/>
      <c r="D1249" s="331"/>
      <c r="E1249" s="331" t="s">
        <v>411</v>
      </c>
      <c r="F1249" s="332"/>
      <c r="G1249" s="332"/>
      <c r="H1249" s="332"/>
      <c r="I1249" s="333"/>
    </row>
    <row r="1250" spans="1:9" hidden="1">
      <c r="A1250" s="329"/>
      <c r="B1250" s="330"/>
      <c r="C1250" s="331"/>
      <c r="D1250" s="331" t="s">
        <v>412</v>
      </c>
      <c r="E1250" s="331"/>
      <c r="F1250" s="332"/>
      <c r="G1250" s="332"/>
      <c r="H1250" s="332"/>
      <c r="I1250" s="333">
        <f>SUM(I1237:I1249)</f>
        <v>3639170</v>
      </c>
    </row>
    <row r="1251" spans="1:9" hidden="1">
      <c r="A1251" s="329"/>
      <c r="B1251" s="330"/>
      <c r="C1251" s="331"/>
      <c r="D1251" s="331" t="s">
        <v>413</v>
      </c>
      <c r="E1251" s="331"/>
      <c r="F1251" s="332"/>
      <c r="G1251" s="332"/>
      <c r="H1251" s="332"/>
      <c r="I1251" s="333">
        <f>I1250*0.1</f>
        <v>363917</v>
      </c>
    </row>
    <row r="1252" spans="1:9" hidden="1">
      <c r="A1252" s="385"/>
      <c r="B1252" s="361"/>
      <c r="C1252" s="362"/>
      <c r="D1252" s="363" t="s">
        <v>414</v>
      </c>
      <c r="E1252" s="362"/>
      <c r="F1252" s="364"/>
      <c r="G1252" s="364"/>
      <c r="H1252" s="364"/>
      <c r="I1252" s="365">
        <f>ROUNDDOWN(I1251+I1250,0)</f>
        <v>4003087</v>
      </c>
    </row>
    <row r="1253" spans="1:9" ht="13.5" hidden="1" thickBot="1">
      <c r="A1253" s="386"/>
      <c r="B1253" s="367"/>
      <c r="C1253" s="368"/>
      <c r="D1253" s="369"/>
      <c r="E1253" s="368"/>
      <c r="F1253" s="370"/>
      <c r="G1253" s="370"/>
      <c r="H1253" s="370"/>
      <c r="I1253" s="371"/>
    </row>
    <row r="1254" spans="1:9" ht="14.25" hidden="1" thickTop="1" thickBot="1">
      <c r="A1254" s="309" t="s">
        <v>0</v>
      </c>
      <c r="B1254" s="380" t="s">
        <v>397</v>
      </c>
      <c r="C1254" s="310" t="s">
        <v>398</v>
      </c>
      <c r="D1254" s="310" t="s">
        <v>1</v>
      </c>
      <c r="E1254" s="311"/>
      <c r="F1254" s="381" t="s">
        <v>399</v>
      </c>
      <c r="G1254" s="381" t="s">
        <v>400</v>
      </c>
      <c r="H1254" s="381" t="s">
        <v>401</v>
      </c>
      <c r="I1254" s="382" t="s">
        <v>402</v>
      </c>
    </row>
    <row r="1255" spans="1:9" ht="13.5" hidden="1" thickTop="1">
      <c r="A1255" s="351">
        <v>65</v>
      </c>
      <c r="B1255" s="352" t="s">
        <v>546</v>
      </c>
      <c r="C1255" s="353"/>
      <c r="D1255" s="353"/>
      <c r="E1255" s="353"/>
      <c r="F1255" s="354"/>
      <c r="G1255" s="354"/>
      <c r="H1255" s="354"/>
      <c r="I1255" s="355"/>
    </row>
    <row r="1256" spans="1:9" hidden="1">
      <c r="A1256" s="334"/>
      <c r="B1256" s="335">
        <v>3.5000000000000003E-2</v>
      </c>
      <c r="C1256" s="336" t="s">
        <v>511</v>
      </c>
      <c r="D1256" s="336" t="s">
        <v>3</v>
      </c>
      <c r="E1256" s="336"/>
      <c r="F1256" s="337">
        <f>[2]Hardas!$E$10</f>
        <v>100000</v>
      </c>
      <c r="G1256" s="338">
        <f>F1256*B1256</f>
        <v>3500.0000000000005</v>
      </c>
      <c r="H1256" s="338"/>
      <c r="I1256" s="339"/>
    </row>
    <row r="1257" spans="1:9" hidden="1">
      <c r="A1257" s="334"/>
      <c r="B1257" s="335">
        <v>0.27</v>
      </c>
      <c r="C1257" s="336" t="s">
        <v>511</v>
      </c>
      <c r="D1257" s="336" t="s">
        <v>4</v>
      </c>
      <c r="E1257" s="336"/>
      <c r="F1257" s="338">
        <f>[2]Hardas!$E$11</f>
        <v>91000</v>
      </c>
      <c r="G1257" s="338">
        <f>F1257*B1257</f>
        <v>24570</v>
      </c>
      <c r="H1257" s="338"/>
      <c r="I1257" s="339"/>
    </row>
    <row r="1258" spans="1:9" hidden="1">
      <c r="A1258" s="334"/>
      <c r="B1258" s="335">
        <v>3</v>
      </c>
      <c r="C1258" s="336" t="s">
        <v>511</v>
      </c>
      <c r="D1258" s="336" t="s">
        <v>10</v>
      </c>
      <c r="E1258" s="336"/>
      <c r="F1258" s="338">
        <f>[2]Hardas!$E$12</f>
        <v>82000</v>
      </c>
      <c r="G1258" s="338">
        <f>F1258*B1258</f>
        <v>246000</v>
      </c>
      <c r="H1258" s="338"/>
      <c r="I1258" s="339"/>
    </row>
    <row r="1259" spans="1:9" hidden="1">
      <c r="A1259" s="334"/>
      <c r="B1259" s="335">
        <v>0.6</v>
      </c>
      <c r="C1259" s="336" t="s">
        <v>511</v>
      </c>
      <c r="D1259" s="336" t="s">
        <v>6</v>
      </c>
      <c r="E1259" s="336"/>
      <c r="F1259" s="338">
        <f>[2]Hardas!$E$21</f>
        <v>59000</v>
      </c>
      <c r="G1259" s="338">
        <f>F1259*B1259</f>
        <v>35400</v>
      </c>
      <c r="H1259" s="338"/>
      <c r="I1259" s="339"/>
    </row>
    <row r="1260" spans="1:9" hidden="1">
      <c r="A1260" s="329"/>
      <c r="B1260" s="330"/>
      <c r="C1260" s="331"/>
      <c r="D1260" s="331"/>
      <c r="E1260" s="331" t="s">
        <v>405</v>
      </c>
      <c r="F1260" s="332"/>
      <c r="G1260" s="332"/>
      <c r="H1260" s="332"/>
      <c r="I1260" s="333">
        <f>SUM(G1256:G1260)</f>
        <v>309470</v>
      </c>
    </row>
    <row r="1261" spans="1:9" hidden="1">
      <c r="A1261" s="334"/>
      <c r="B1261" s="335"/>
      <c r="C1261" s="336"/>
      <c r="D1261" s="336"/>
      <c r="E1261" s="336"/>
      <c r="F1261" s="338"/>
      <c r="G1261" s="338"/>
      <c r="H1261" s="338"/>
      <c r="I1261" s="339"/>
    </row>
    <row r="1262" spans="1:9" hidden="1">
      <c r="A1262" s="334"/>
      <c r="B1262" s="335">
        <f>15*2</f>
        <v>30</v>
      </c>
      <c r="C1262" s="336" t="s">
        <v>30</v>
      </c>
      <c r="D1262" s="336" t="s">
        <v>38</v>
      </c>
      <c r="E1262" s="336"/>
      <c r="F1262" s="338">
        <f>[2]Hardas!$E$72</f>
        <v>105540</v>
      </c>
      <c r="G1262" s="338"/>
      <c r="H1262" s="338">
        <f>F1262*B1262</f>
        <v>3166200</v>
      </c>
      <c r="I1262" s="339"/>
    </row>
    <row r="1263" spans="1:9" hidden="1">
      <c r="A1263" s="334"/>
      <c r="B1263" s="335">
        <f>15*2</f>
        <v>30</v>
      </c>
      <c r="C1263" s="336" t="s">
        <v>30</v>
      </c>
      <c r="D1263" s="336" t="s">
        <v>533</v>
      </c>
      <c r="E1263" s="336"/>
      <c r="F1263" s="338">
        <f>[2]Hardas!$E$94</f>
        <v>5450</v>
      </c>
      <c r="G1263" s="338"/>
      <c r="H1263" s="338">
        <f>F1263*B1263</f>
        <v>163500</v>
      </c>
      <c r="I1263" s="339"/>
    </row>
    <row r="1264" spans="1:9" hidden="1">
      <c r="A1264" s="329"/>
      <c r="B1264" s="330"/>
      <c r="C1264" s="331"/>
      <c r="D1264" s="331"/>
      <c r="E1264" s="331" t="s">
        <v>410</v>
      </c>
      <c r="F1264" s="332"/>
      <c r="G1264" s="332"/>
      <c r="H1264" s="332"/>
      <c r="I1264" s="333">
        <f>SUM(H1262:H1264)</f>
        <v>3329700</v>
      </c>
    </row>
    <row r="1265" spans="1:9" hidden="1">
      <c r="A1265" s="334"/>
      <c r="B1265" s="335"/>
      <c r="C1265" s="336"/>
      <c r="D1265" s="336"/>
      <c r="E1265" s="336"/>
      <c r="F1265" s="338"/>
      <c r="G1265" s="338"/>
      <c r="H1265" s="338"/>
      <c r="I1265" s="339"/>
    </row>
    <row r="1266" spans="1:9" hidden="1">
      <c r="A1266" s="334"/>
      <c r="B1266" s="335"/>
      <c r="C1266" s="336"/>
      <c r="D1266" s="336"/>
      <c r="E1266" s="336"/>
      <c r="F1266" s="338"/>
      <c r="G1266" s="338"/>
      <c r="H1266" s="338"/>
      <c r="I1266" s="339"/>
    </row>
    <row r="1267" spans="1:9" hidden="1">
      <c r="A1267" s="334"/>
      <c r="B1267" s="335"/>
      <c r="C1267" s="336"/>
      <c r="D1267" s="336"/>
      <c r="E1267" s="336"/>
      <c r="F1267" s="338"/>
      <c r="G1267" s="338"/>
      <c r="H1267" s="338"/>
      <c r="I1267" s="339"/>
    </row>
    <row r="1268" spans="1:9" hidden="1">
      <c r="A1268" s="329"/>
      <c r="B1268" s="330"/>
      <c r="C1268" s="331"/>
      <c r="D1268" s="331"/>
      <c r="E1268" s="331" t="s">
        <v>411</v>
      </c>
      <c r="F1268" s="332"/>
      <c r="G1268" s="332"/>
      <c r="H1268" s="332"/>
      <c r="I1268" s="333"/>
    </row>
    <row r="1269" spans="1:9" hidden="1">
      <c r="A1269" s="329"/>
      <c r="B1269" s="330"/>
      <c r="C1269" s="331"/>
      <c r="D1269" s="331" t="s">
        <v>412</v>
      </c>
      <c r="E1269" s="331"/>
      <c r="F1269" s="332"/>
      <c r="G1269" s="332"/>
      <c r="H1269" s="332"/>
      <c r="I1269" s="333">
        <f>SUM(I1256:I1268)</f>
        <v>3639170</v>
      </c>
    </row>
    <row r="1270" spans="1:9" hidden="1">
      <c r="A1270" s="329"/>
      <c r="B1270" s="330"/>
      <c r="C1270" s="331"/>
      <c r="D1270" s="331" t="s">
        <v>413</v>
      </c>
      <c r="E1270" s="331"/>
      <c r="F1270" s="332"/>
      <c r="G1270" s="332"/>
      <c r="H1270" s="332"/>
      <c r="I1270" s="333">
        <f>I1269*0.1</f>
        <v>363917</v>
      </c>
    </row>
    <row r="1271" spans="1:9" hidden="1">
      <c r="A1271" s="385"/>
      <c r="B1271" s="361"/>
      <c r="C1271" s="362"/>
      <c r="D1271" s="363" t="s">
        <v>414</v>
      </c>
      <c r="E1271" s="362"/>
      <c r="F1271" s="364"/>
      <c r="G1271" s="364"/>
      <c r="H1271" s="364"/>
      <c r="I1271" s="365">
        <f>ROUNDDOWN(I1270+I1269,0)</f>
        <v>4003087</v>
      </c>
    </row>
    <row r="1272" spans="1:9" ht="13.5" hidden="1" thickBot="1">
      <c r="A1272" s="386"/>
      <c r="B1272" s="367"/>
      <c r="C1272" s="368"/>
      <c r="D1272" s="369"/>
      <c r="E1272" s="368"/>
      <c r="F1272" s="370"/>
      <c r="G1272" s="370"/>
      <c r="H1272" s="370"/>
      <c r="I1272" s="371"/>
    </row>
    <row r="1273" spans="1:9" ht="14.25" hidden="1" thickTop="1" thickBot="1">
      <c r="A1273" s="309" t="s">
        <v>0</v>
      </c>
      <c r="B1273" s="380" t="s">
        <v>397</v>
      </c>
      <c r="C1273" s="310" t="s">
        <v>398</v>
      </c>
      <c r="D1273" s="310" t="s">
        <v>1</v>
      </c>
      <c r="E1273" s="311"/>
      <c r="F1273" s="381" t="s">
        <v>399</v>
      </c>
      <c r="G1273" s="381" t="s">
        <v>400</v>
      </c>
      <c r="H1273" s="381" t="s">
        <v>401</v>
      </c>
      <c r="I1273" s="382" t="s">
        <v>402</v>
      </c>
    </row>
    <row r="1274" spans="1:9" ht="13.5" hidden="1" thickTop="1">
      <c r="A1274" s="351">
        <v>66</v>
      </c>
      <c r="B1274" s="352" t="s">
        <v>547</v>
      </c>
      <c r="C1274" s="353"/>
      <c r="D1274" s="353"/>
      <c r="E1274" s="353"/>
      <c r="F1274" s="354"/>
      <c r="G1274" s="354"/>
      <c r="H1274" s="354"/>
      <c r="I1274" s="355"/>
    </row>
    <row r="1275" spans="1:9" hidden="1">
      <c r="A1275" s="334"/>
      <c r="B1275" s="335">
        <v>1.4999999999999999E-2</v>
      </c>
      <c r="C1275" s="336" t="s">
        <v>511</v>
      </c>
      <c r="D1275" s="336" t="s">
        <v>3</v>
      </c>
      <c r="E1275" s="336"/>
      <c r="F1275" s="337">
        <f>[2]Hardas!$E$10</f>
        <v>100000</v>
      </c>
      <c r="G1275" s="338">
        <f>F1275*B1275</f>
        <v>1500</v>
      </c>
      <c r="H1275" s="338"/>
      <c r="I1275" s="339"/>
    </row>
    <row r="1276" spans="1:9" hidden="1">
      <c r="A1276" s="334"/>
      <c r="B1276" s="335">
        <v>0.01</v>
      </c>
      <c r="C1276" s="336" t="s">
        <v>511</v>
      </c>
      <c r="D1276" s="336" t="s">
        <v>4</v>
      </c>
      <c r="E1276" s="336"/>
      <c r="F1276" s="338">
        <f>[2]Hardas!$E$11</f>
        <v>91000</v>
      </c>
      <c r="G1276" s="338">
        <f>F1276*B1276</f>
        <v>910</v>
      </c>
      <c r="H1276" s="338"/>
      <c r="I1276" s="339"/>
    </row>
    <row r="1277" spans="1:9" hidden="1">
      <c r="A1277" s="334"/>
      <c r="B1277" s="335">
        <v>0.1</v>
      </c>
      <c r="C1277" s="336" t="s">
        <v>511</v>
      </c>
      <c r="D1277" s="336" t="s">
        <v>10</v>
      </c>
      <c r="E1277" s="336"/>
      <c r="F1277" s="338">
        <f>[2]Hardas!$E$12</f>
        <v>82000</v>
      </c>
      <c r="G1277" s="338">
        <f>F1277*B1277</f>
        <v>8200</v>
      </c>
      <c r="H1277" s="338"/>
      <c r="I1277" s="339"/>
    </row>
    <row r="1278" spans="1:9" hidden="1">
      <c r="A1278" s="334"/>
      <c r="B1278" s="335">
        <v>0.3</v>
      </c>
      <c r="C1278" s="336" t="s">
        <v>511</v>
      </c>
      <c r="D1278" s="336" t="s">
        <v>6</v>
      </c>
      <c r="E1278" s="336"/>
      <c r="F1278" s="338">
        <f>[2]Hardas!$E$21</f>
        <v>59000</v>
      </c>
      <c r="G1278" s="338">
        <f>F1278*B1278</f>
        <v>17700</v>
      </c>
      <c r="H1278" s="338"/>
      <c r="I1278" s="339"/>
    </row>
    <row r="1279" spans="1:9" hidden="1">
      <c r="A1279" s="329"/>
      <c r="B1279" s="330"/>
      <c r="C1279" s="331"/>
      <c r="D1279" s="331"/>
      <c r="E1279" s="331" t="s">
        <v>405</v>
      </c>
      <c r="F1279" s="332"/>
      <c r="G1279" s="332"/>
      <c r="H1279" s="332"/>
      <c r="I1279" s="333">
        <f>SUM(G1275:G1279)</f>
        <v>28310</v>
      </c>
    </row>
    <row r="1280" spans="1:9" hidden="1">
      <c r="A1280" s="334"/>
      <c r="B1280" s="335"/>
      <c r="C1280" s="336"/>
      <c r="D1280" s="336"/>
      <c r="E1280" s="336"/>
      <c r="F1280" s="338"/>
      <c r="G1280" s="338"/>
      <c r="H1280" s="338"/>
      <c r="I1280" s="339"/>
    </row>
    <row r="1281" spans="1:9" hidden="1">
      <c r="A1281" s="334"/>
      <c r="B1281" s="335">
        <v>1.34</v>
      </c>
      <c r="C1281" s="336" t="s">
        <v>453</v>
      </c>
      <c r="D1281" s="336" t="s">
        <v>548</v>
      </c>
      <c r="E1281" s="336"/>
      <c r="F1281" s="338">
        <f>[2]Hardas!$E$101</f>
        <v>21820</v>
      </c>
      <c r="G1281" s="338"/>
      <c r="H1281" s="338">
        <f>F1281*B1281</f>
        <v>29238.800000000003</v>
      </c>
      <c r="I1281" s="339"/>
    </row>
    <row r="1282" spans="1:9" hidden="1">
      <c r="A1282" s="329"/>
      <c r="B1282" s="330"/>
      <c r="C1282" s="331"/>
      <c r="D1282" s="331"/>
      <c r="E1282" s="331" t="s">
        <v>410</v>
      </c>
      <c r="F1282" s="332"/>
      <c r="G1282" s="332"/>
      <c r="H1282" s="332"/>
      <c r="I1282" s="333">
        <f>SUM(H1281:H1282)</f>
        <v>29238.800000000003</v>
      </c>
    </row>
    <row r="1283" spans="1:9" hidden="1">
      <c r="A1283" s="334"/>
      <c r="B1283" s="335"/>
      <c r="C1283" s="336"/>
      <c r="D1283" s="336"/>
      <c r="E1283" s="336"/>
      <c r="F1283" s="338"/>
      <c r="G1283" s="338"/>
      <c r="H1283" s="338"/>
      <c r="I1283" s="339"/>
    </row>
    <row r="1284" spans="1:9" hidden="1">
      <c r="A1284" s="334"/>
      <c r="B1284" s="335"/>
      <c r="C1284" s="336"/>
      <c r="D1284" s="336"/>
      <c r="E1284" s="336"/>
      <c r="F1284" s="338"/>
      <c r="G1284" s="338"/>
      <c r="H1284" s="338"/>
      <c r="I1284" s="339"/>
    </row>
    <row r="1285" spans="1:9" hidden="1">
      <c r="A1285" s="334"/>
      <c r="B1285" s="335"/>
      <c r="C1285" s="336"/>
      <c r="D1285" s="336"/>
      <c r="E1285" s="336"/>
      <c r="F1285" s="338"/>
      <c r="G1285" s="338"/>
      <c r="H1285" s="338"/>
      <c r="I1285" s="339"/>
    </row>
    <row r="1286" spans="1:9" hidden="1">
      <c r="A1286" s="329"/>
      <c r="B1286" s="330"/>
      <c r="C1286" s="331"/>
      <c r="D1286" s="331"/>
      <c r="E1286" s="331" t="s">
        <v>411</v>
      </c>
      <c r="F1286" s="332"/>
      <c r="G1286" s="332"/>
      <c r="H1286" s="332"/>
      <c r="I1286" s="333"/>
    </row>
    <row r="1287" spans="1:9" hidden="1">
      <c r="A1287" s="329"/>
      <c r="B1287" s="330"/>
      <c r="C1287" s="331"/>
      <c r="D1287" s="331" t="s">
        <v>412</v>
      </c>
      <c r="E1287" s="331"/>
      <c r="F1287" s="332"/>
      <c r="G1287" s="332"/>
      <c r="H1287" s="332"/>
      <c r="I1287" s="333">
        <f>SUM(I1275:I1286)</f>
        <v>57548.800000000003</v>
      </c>
    </row>
    <row r="1288" spans="1:9" hidden="1">
      <c r="A1288" s="329"/>
      <c r="B1288" s="330"/>
      <c r="C1288" s="331"/>
      <c r="D1288" s="331" t="s">
        <v>413</v>
      </c>
      <c r="E1288" s="331"/>
      <c r="F1288" s="332"/>
      <c r="G1288" s="332"/>
      <c r="H1288" s="332"/>
      <c r="I1288" s="333">
        <f>I1287*0.1</f>
        <v>5754.880000000001</v>
      </c>
    </row>
    <row r="1289" spans="1:9" hidden="1">
      <c r="A1289" s="385"/>
      <c r="B1289" s="361"/>
      <c r="C1289" s="362"/>
      <c r="D1289" s="363" t="s">
        <v>414</v>
      </c>
      <c r="E1289" s="362"/>
      <c r="F1289" s="364"/>
      <c r="G1289" s="364"/>
      <c r="H1289" s="364"/>
      <c r="I1289" s="365">
        <f>ROUNDDOWN(I1288+I1287,0)</f>
        <v>63303</v>
      </c>
    </row>
    <row r="1290" spans="1:9" ht="13.5" hidden="1" thickBot="1">
      <c r="A1290" s="386"/>
      <c r="B1290" s="367"/>
      <c r="C1290" s="368"/>
      <c r="D1290" s="369"/>
      <c r="E1290" s="368"/>
      <c r="F1290" s="370"/>
      <c r="G1290" s="370"/>
      <c r="H1290" s="370"/>
      <c r="I1290" s="371"/>
    </row>
    <row r="1291" spans="1:9" ht="14.25" hidden="1" thickTop="1" thickBot="1">
      <c r="A1291" s="309" t="s">
        <v>0</v>
      </c>
      <c r="B1291" s="380" t="s">
        <v>397</v>
      </c>
      <c r="C1291" s="310" t="s">
        <v>398</v>
      </c>
      <c r="D1291" s="310" t="s">
        <v>1</v>
      </c>
      <c r="E1291" s="311"/>
      <c r="F1291" s="381" t="s">
        <v>399</v>
      </c>
      <c r="G1291" s="381" t="s">
        <v>400</v>
      </c>
      <c r="H1291" s="381" t="s">
        <v>401</v>
      </c>
      <c r="I1291" s="382" t="s">
        <v>402</v>
      </c>
    </row>
    <row r="1292" spans="1:9" ht="13.5" hidden="1" thickTop="1">
      <c r="A1292" s="351">
        <v>67</v>
      </c>
      <c r="B1292" s="352" t="s">
        <v>549</v>
      </c>
      <c r="C1292" s="353"/>
      <c r="D1292" s="353"/>
      <c r="E1292" s="353"/>
      <c r="F1292" s="354"/>
      <c r="G1292" s="354"/>
      <c r="H1292" s="354"/>
      <c r="I1292" s="355"/>
    </row>
    <row r="1293" spans="1:9" hidden="1">
      <c r="A1293" s="334"/>
      <c r="B1293" s="335">
        <v>2E-3</v>
      </c>
      <c r="C1293" s="336" t="s">
        <v>511</v>
      </c>
      <c r="D1293" s="336" t="s">
        <v>3</v>
      </c>
      <c r="E1293" s="336"/>
      <c r="F1293" s="337">
        <f>[2]Hardas!$E$10</f>
        <v>100000</v>
      </c>
      <c r="G1293" s="338">
        <f>F1293*B1293</f>
        <v>200</v>
      </c>
      <c r="H1293" s="338"/>
      <c r="I1293" s="339"/>
    </row>
    <row r="1294" spans="1:9" hidden="1">
      <c r="A1294" s="334"/>
      <c r="B1294" s="335">
        <v>0.02</v>
      </c>
      <c r="C1294" s="336" t="s">
        <v>511</v>
      </c>
      <c r="D1294" s="336" t="s">
        <v>4</v>
      </c>
      <c r="E1294" s="336"/>
      <c r="F1294" s="338">
        <f>[2]Hardas!$E$11</f>
        <v>91000</v>
      </c>
      <c r="G1294" s="338">
        <f>F1294*B1294</f>
        <v>1820</v>
      </c>
      <c r="H1294" s="338"/>
      <c r="I1294" s="339"/>
    </row>
    <row r="1295" spans="1:9" hidden="1">
      <c r="A1295" s="334"/>
      <c r="B1295" s="335">
        <v>0.02</v>
      </c>
      <c r="C1295" s="336" t="s">
        <v>511</v>
      </c>
      <c r="D1295" s="336" t="s">
        <v>428</v>
      </c>
      <c r="E1295" s="336"/>
      <c r="F1295" s="338">
        <f>[2]Hardas!$E$14</f>
        <v>82000</v>
      </c>
      <c r="G1295" s="338">
        <f>F1295*B1295</f>
        <v>1640</v>
      </c>
      <c r="H1295" s="338"/>
      <c r="I1295" s="339"/>
    </row>
    <row r="1296" spans="1:9" hidden="1">
      <c r="A1296" s="334"/>
      <c r="B1296" s="335">
        <v>0.5</v>
      </c>
      <c r="C1296" s="336" t="s">
        <v>511</v>
      </c>
      <c r="D1296" s="336" t="s">
        <v>6</v>
      </c>
      <c r="E1296" s="336"/>
      <c r="F1296" s="338">
        <f>[2]Hardas!$E$21</f>
        <v>59000</v>
      </c>
      <c r="G1296" s="338">
        <f>F1296*B1296</f>
        <v>29500</v>
      </c>
      <c r="H1296" s="338"/>
      <c r="I1296" s="339"/>
    </row>
    <row r="1297" spans="1:9" hidden="1">
      <c r="A1297" s="329"/>
      <c r="B1297" s="330"/>
      <c r="C1297" s="331"/>
      <c r="D1297" s="331"/>
      <c r="E1297" s="331" t="s">
        <v>405</v>
      </c>
      <c r="F1297" s="332"/>
      <c r="G1297" s="332"/>
      <c r="H1297" s="332"/>
      <c r="I1297" s="333">
        <f>SUM(G1293:G1297)</f>
        <v>33160</v>
      </c>
    </row>
    <row r="1298" spans="1:9" hidden="1">
      <c r="A1298" s="334"/>
      <c r="B1298" s="335"/>
      <c r="C1298" s="336"/>
      <c r="D1298" s="336"/>
      <c r="E1298" s="336"/>
      <c r="F1298" s="338"/>
      <c r="G1298" s="338"/>
      <c r="H1298" s="338"/>
      <c r="I1298" s="339"/>
    </row>
    <row r="1299" spans="1:9" hidden="1">
      <c r="A1299" s="334"/>
      <c r="B1299" s="335">
        <v>38</v>
      </c>
      <c r="C1299" s="336" t="s">
        <v>433</v>
      </c>
      <c r="D1299" s="336" t="s">
        <v>550</v>
      </c>
      <c r="E1299" s="336"/>
      <c r="F1299" s="338">
        <f>[2]Hardas!$E$230</f>
        <v>4000.0000000000009</v>
      </c>
      <c r="G1299" s="338"/>
      <c r="H1299" s="338">
        <f>F1299*B1299</f>
        <v>152000.00000000003</v>
      </c>
      <c r="I1299" s="339"/>
    </row>
    <row r="1300" spans="1:9" hidden="1">
      <c r="A1300" s="334"/>
      <c r="B1300" s="335">
        <v>7.0000000000000001E-3</v>
      </c>
      <c r="C1300" s="336" t="s">
        <v>406</v>
      </c>
      <c r="D1300" s="336" t="s">
        <v>432</v>
      </c>
      <c r="E1300" s="336"/>
      <c r="F1300" s="338">
        <f>[2]Hardas!$E$28</f>
        <v>115000</v>
      </c>
      <c r="G1300" s="338"/>
      <c r="H1300" s="338">
        <f>F1300*B1300</f>
        <v>805</v>
      </c>
      <c r="I1300" s="339"/>
    </row>
    <row r="1301" spans="1:9" hidden="1">
      <c r="A1301" s="329"/>
      <c r="B1301" s="330"/>
      <c r="C1301" s="331"/>
      <c r="D1301" s="331"/>
      <c r="E1301" s="331" t="s">
        <v>410</v>
      </c>
      <c r="F1301" s="332"/>
      <c r="G1301" s="332"/>
      <c r="H1301" s="332"/>
      <c r="I1301" s="333">
        <f>SUM(H1299:H1301)</f>
        <v>152805.00000000003</v>
      </c>
    </row>
    <row r="1302" spans="1:9" hidden="1">
      <c r="A1302" s="334"/>
      <c r="B1302" s="335"/>
      <c r="C1302" s="336"/>
      <c r="D1302" s="336"/>
      <c r="E1302" s="336"/>
      <c r="F1302" s="338"/>
      <c r="G1302" s="338"/>
      <c r="H1302" s="338"/>
      <c r="I1302" s="339"/>
    </row>
    <row r="1303" spans="1:9" hidden="1">
      <c r="A1303" s="334"/>
      <c r="B1303" s="335"/>
      <c r="C1303" s="336"/>
      <c r="D1303" s="336"/>
      <c r="E1303" s="336"/>
      <c r="F1303" s="338"/>
      <c r="G1303" s="338"/>
      <c r="H1303" s="338"/>
      <c r="I1303" s="339"/>
    </row>
    <row r="1304" spans="1:9" hidden="1">
      <c r="A1304" s="334"/>
      <c r="B1304" s="335"/>
      <c r="C1304" s="336"/>
      <c r="D1304" s="336"/>
      <c r="E1304" s="336"/>
      <c r="F1304" s="338"/>
      <c r="G1304" s="338"/>
      <c r="H1304" s="338"/>
      <c r="I1304" s="339"/>
    </row>
    <row r="1305" spans="1:9" hidden="1">
      <c r="A1305" s="329"/>
      <c r="B1305" s="330"/>
      <c r="C1305" s="331"/>
      <c r="D1305" s="331"/>
      <c r="E1305" s="331" t="s">
        <v>411</v>
      </c>
      <c r="F1305" s="332"/>
      <c r="G1305" s="332"/>
      <c r="H1305" s="332"/>
      <c r="I1305" s="333"/>
    </row>
    <row r="1306" spans="1:9" hidden="1">
      <c r="A1306" s="329"/>
      <c r="B1306" s="330"/>
      <c r="C1306" s="331"/>
      <c r="D1306" s="331" t="s">
        <v>412</v>
      </c>
      <c r="E1306" s="331"/>
      <c r="F1306" s="332"/>
      <c r="G1306" s="332"/>
      <c r="H1306" s="332"/>
      <c r="I1306" s="333">
        <f>SUM(I1293:I1305)</f>
        <v>185965.00000000003</v>
      </c>
    </row>
    <row r="1307" spans="1:9" hidden="1">
      <c r="A1307" s="329"/>
      <c r="B1307" s="330"/>
      <c r="C1307" s="331"/>
      <c r="D1307" s="331" t="s">
        <v>413</v>
      </c>
      <c r="E1307" s="331"/>
      <c r="F1307" s="332"/>
      <c r="G1307" s="332"/>
      <c r="H1307" s="332"/>
      <c r="I1307" s="333">
        <f>I1306*0.1</f>
        <v>18596.500000000004</v>
      </c>
    </row>
    <row r="1308" spans="1:9" hidden="1">
      <c r="A1308" s="385"/>
      <c r="B1308" s="361"/>
      <c r="C1308" s="362"/>
      <c r="D1308" s="363" t="s">
        <v>414</v>
      </c>
      <c r="E1308" s="362"/>
      <c r="F1308" s="364"/>
      <c r="G1308" s="364"/>
      <c r="H1308" s="364"/>
      <c r="I1308" s="365">
        <f>ROUNDDOWN(I1307+I1306,0)</f>
        <v>204561</v>
      </c>
    </row>
    <row r="1309" spans="1:9" ht="13.5" hidden="1" thickBot="1">
      <c r="A1309" s="386"/>
      <c r="B1309" s="367"/>
      <c r="C1309" s="368"/>
      <c r="D1309" s="369"/>
      <c r="E1309" s="368"/>
      <c r="F1309" s="370"/>
      <c r="G1309" s="370"/>
      <c r="H1309" s="370"/>
      <c r="I1309" s="371"/>
    </row>
    <row r="1310" spans="1:9" ht="14.25" hidden="1" thickTop="1" thickBot="1">
      <c r="A1310" s="309" t="s">
        <v>0</v>
      </c>
      <c r="B1310" s="380" t="s">
        <v>397</v>
      </c>
      <c r="C1310" s="310" t="s">
        <v>398</v>
      </c>
      <c r="D1310" s="310" t="s">
        <v>1</v>
      </c>
      <c r="E1310" s="311"/>
      <c r="F1310" s="381" t="s">
        <v>399</v>
      </c>
      <c r="G1310" s="381" t="s">
        <v>400</v>
      </c>
      <c r="H1310" s="381" t="s">
        <v>401</v>
      </c>
      <c r="I1310" s="382" t="s">
        <v>402</v>
      </c>
    </row>
    <row r="1311" spans="1:9" ht="13.5" hidden="1" thickTop="1">
      <c r="A1311" s="351">
        <v>68</v>
      </c>
      <c r="B1311" s="352" t="s">
        <v>551</v>
      </c>
      <c r="C1311" s="353"/>
      <c r="D1311" s="353"/>
      <c r="E1311" s="353"/>
      <c r="F1311" s="354"/>
      <c r="G1311" s="354"/>
      <c r="H1311" s="354"/>
      <c r="I1311" s="355"/>
    </row>
    <row r="1312" spans="1:9" hidden="1">
      <c r="A1312" s="334"/>
      <c r="B1312" s="335">
        <v>1.67E-2</v>
      </c>
      <c r="C1312" s="336" t="s">
        <v>511</v>
      </c>
      <c r="D1312" s="336" t="s">
        <v>3</v>
      </c>
      <c r="E1312" s="336"/>
      <c r="F1312" s="337">
        <f>[2]Hardas!$E$10</f>
        <v>100000</v>
      </c>
      <c r="G1312" s="338">
        <f>F1312*B1312</f>
        <v>1670</v>
      </c>
      <c r="H1312" s="338"/>
      <c r="I1312" s="339"/>
    </row>
    <row r="1313" spans="1:9" hidden="1">
      <c r="A1313" s="334"/>
      <c r="B1313" s="335">
        <v>1.67E-2</v>
      </c>
      <c r="C1313" s="336" t="s">
        <v>511</v>
      </c>
      <c r="D1313" s="336" t="s">
        <v>4</v>
      </c>
      <c r="E1313" s="336"/>
      <c r="F1313" s="338">
        <f>[2]Hardas!$E$11</f>
        <v>91000</v>
      </c>
      <c r="G1313" s="338">
        <f>F1313*B1313</f>
        <v>1519.7</v>
      </c>
      <c r="H1313" s="338"/>
      <c r="I1313" s="339"/>
    </row>
    <row r="1314" spans="1:9" hidden="1">
      <c r="A1314" s="334"/>
      <c r="B1314" s="335">
        <v>1.67E-2</v>
      </c>
      <c r="C1314" s="336" t="s">
        <v>511</v>
      </c>
      <c r="D1314" s="336" t="s">
        <v>428</v>
      </c>
      <c r="E1314" s="336"/>
      <c r="F1314" s="338">
        <f>[2]Hardas!$E$14</f>
        <v>82000</v>
      </c>
      <c r="G1314" s="338">
        <f>F1314*B1314</f>
        <v>1369.3999999999999</v>
      </c>
      <c r="H1314" s="338"/>
      <c r="I1314" s="339"/>
    </row>
    <row r="1315" spans="1:9" hidden="1">
      <c r="A1315" s="334"/>
      <c r="B1315" s="335">
        <v>1.1000000000000001</v>
      </c>
      <c r="C1315" s="336" t="s">
        <v>511</v>
      </c>
      <c r="D1315" s="336" t="s">
        <v>6</v>
      </c>
      <c r="E1315" s="336"/>
      <c r="F1315" s="338">
        <f>[2]Hardas!$E$21</f>
        <v>59000</v>
      </c>
      <c r="G1315" s="338">
        <f>F1315*B1315</f>
        <v>64900.000000000007</v>
      </c>
      <c r="H1315" s="338"/>
      <c r="I1315" s="339"/>
    </row>
    <row r="1316" spans="1:9" hidden="1">
      <c r="A1316" s="329"/>
      <c r="B1316" s="330"/>
      <c r="C1316" s="331"/>
      <c r="D1316" s="331"/>
      <c r="E1316" s="331" t="s">
        <v>405</v>
      </c>
      <c r="F1316" s="332"/>
      <c r="G1316" s="332"/>
      <c r="H1316" s="332"/>
      <c r="I1316" s="333">
        <f>SUM(G1312:G1316)</f>
        <v>69459.100000000006</v>
      </c>
    </row>
    <row r="1317" spans="1:9" hidden="1">
      <c r="A1317" s="334"/>
      <c r="B1317" s="335"/>
      <c r="C1317" s="336"/>
      <c r="D1317" s="336"/>
      <c r="E1317" s="336"/>
      <c r="F1317" s="338"/>
      <c r="G1317" s="338"/>
      <c r="H1317" s="338"/>
      <c r="I1317" s="339"/>
    </row>
    <row r="1318" spans="1:9" hidden="1">
      <c r="A1318" s="334"/>
      <c r="B1318" s="335">
        <v>0.43330000000000002</v>
      </c>
      <c r="C1318" s="336" t="s">
        <v>20</v>
      </c>
      <c r="D1318" s="336" t="s">
        <v>552</v>
      </c>
      <c r="E1318" s="336"/>
      <c r="F1318" s="338">
        <f>[2]Hardas!$E$32</f>
        <v>101360</v>
      </c>
      <c r="G1318" s="338"/>
      <c r="H1318" s="338">
        <f>F1318*B1318</f>
        <v>43919.288</v>
      </c>
      <c r="I1318" s="339"/>
    </row>
    <row r="1319" spans="1:9" hidden="1">
      <c r="A1319" s="334"/>
      <c r="B1319" s="335">
        <v>0.83299999999999996</v>
      </c>
      <c r="C1319" s="336" t="s">
        <v>39</v>
      </c>
      <c r="D1319" s="336" t="s">
        <v>553</v>
      </c>
      <c r="E1319" s="336"/>
      <c r="F1319" s="338">
        <f>[2]Hardas!$E$30</f>
        <v>121500</v>
      </c>
      <c r="G1319" s="338"/>
      <c r="H1319" s="338">
        <f>F1319*B1319</f>
        <v>101209.5</v>
      </c>
      <c r="I1319" s="339"/>
    </row>
    <row r="1320" spans="1:9" hidden="1">
      <c r="A1320" s="334"/>
      <c r="B1320" s="335">
        <v>8.3000000000000004E-2</v>
      </c>
      <c r="C1320" s="336" t="s">
        <v>554</v>
      </c>
      <c r="D1320" s="336" t="s">
        <v>555</v>
      </c>
      <c r="E1320" s="336"/>
      <c r="F1320" s="338">
        <f>[2]Hardas!$E$215*1000</f>
        <v>2250000</v>
      </c>
      <c r="G1320" s="338"/>
      <c r="H1320" s="338">
        <f>F1320*B1320</f>
        <v>186750</v>
      </c>
      <c r="I1320" s="339"/>
    </row>
    <row r="1321" spans="1:9" hidden="1">
      <c r="A1321" s="329"/>
      <c r="B1321" s="330"/>
      <c r="C1321" s="331"/>
      <c r="D1321" s="331"/>
      <c r="E1321" s="331" t="s">
        <v>410</v>
      </c>
      <c r="F1321" s="332"/>
      <c r="G1321" s="332"/>
      <c r="H1321" s="332"/>
      <c r="I1321" s="333">
        <f>SUM(H1318:H1321)</f>
        <v>331878.788</v>
      </c>
    </row>
    <row r="1322" spans="1:9" hidden="1">
      <c r="A1322" s="334"/>
      <c r="B1322" s="335"/>
      <c r="C1322" s="336"/>
      <c r="D1322" s="336"/>
      <c r="E1322" s="336"/>
      <c r="F1322" s="338"/>
      <c r="G1322" s="338"/>
      <c r="H1322" s="338"/>
      <c r="I1322" s="339"/>
    </row>
    <row r="1323" spans="1:9" hidden="1">
      <c r="A1323" s="334"/>
      <c r="B1323" s="335"/>
      <c r="C1323" s="336"/>
      <c r="D1323" s="336"/>
      <c r="E1323" s="336"/>
      <c r="F1323" s="338"/>
      <c r="G1323" s="338"/>
      <c r="H1323" s="338"/>
      <c r="I1323" s="339"/>
    </row>
    <row r="1324" spans="1:9" hidden="1">
      <c r="A1324" s="334"/>
      <c r="B1324" s="335"/>
      <c r="C1324" s="336"/>
      <c r="D1324" s="336"/>
      <c r="E1324" s="336"/>
      <c r="F1324" s="338"/>
      <c r="G1324" s="338"/>
      <c r="H1324" s="338"/>
      <c r="I1324" s="339"/>
    </row>
    <row r="1325" spans="1:9" hidden="1">
      <c r="A1325" s="329"/>
      <c r="B1325" s="330"/>
      <c r="C1325" s="331"/>
      <c r="D1325" s="331"/>
      <c r="E1325" s="331" t="s">
        <v>411</v>
      </c>
      <c r="F1325" s="332"/>
      <c r="G1325" s="332"/>
      <c r="H1325" s="332"/>
      <c r="I1325" s="333"/>
    </row>
    <row r="1326" spans="1:9" hidden="1">
      <c r="A1326" s="329"/>
      <c r="B1326" s="330"/>
      <c r="C1326" s="331"/>
      <c r="D1326" s="331" t="s">
        <v>412</v>
      </c>
      <c r="E1326" s="331"/>
      <c r="F1326" s="332"/>
      <c r="G1326" s="332"/>
      <c r="H1326" s="332"/>
      <c r="I1326" s="333">
        <f>SUM(I1312:I1325)</f>
        <v>401337.88800000004</v>
      </c>
    </row>
    <row r="1327" spans="1:9" hidden="1">
      <c r="A1327" s="329"/>
      <c r="B1327" s="330"/>
      <c r="C1327" s="331"/>
      <c r="D1327" s="331" t="s">
        <v>413</v>
      </c>
      <c r="E1327" s="331"/>
      <c r="F1327" s="332"/>
      <c r="G1327" s="332"/>
      <c r="H1327" s="332"/>
      <c r="I1327" s="333">
        <f>I1326*0.1</f>
        <v>40133.788800000009</v>
      </c>
    </row>
    <row r="1328" spans="1:9" hidden="1">
      <c r="A1328" s="385"/>
      <c r="B1328" s="361"/>
      <c r="C1328" s="362"/>
      <c r="D1328" s="363" t="s">
        <v>414</v>
      </c>
      <c r="E1328" s="362"/>
      <c r="F1328" s="364"/>
      <c r="G1328" s="364"/>
      <c r="H1328" s="364"/>
      <c r="I1328" s="365">
        <f>ROUNDDOWN(I1327+I1326,0)</f>
        <v>441471</v>
      </c>
    </row>
    <row r="1329" spans="1:9" ht="13.5" hidden="1" thickBot="1">
      <c r="A1329" s="386"/>
      <c r="B1329" s="367"/>
      <c r="C1329" s="368"/>
      <c r="D1329" s="369"/>
      <c r="E1329" s="368"/>
      <c r="F1329" s="370"/>
      <c r="G1329" s="370"/>
      <c r="H1329" s="370"/>
      <c r="I1329" s="371"/>
    </row>
    <row r="1330" spans="1:9" ht="14.25" hidden="1" thickTop="1" thickBot="1">
      <c r="A1330" s="309" t="s">
        <v>0</v>
      </c>
      <c r="B1330" s="380" t="s">
        <v>397</v>
      </c>
      <c r="C1330" s="310" t="s">
        <v>398</v>
      </c>
      <c r="D1330" s="310" t="s">
        <v>1</v>
      </c>
      <c r="E1330" s="311"/>
      <c r="F1330" s="381" t="s">
        <v>399</v>
      </c>
      <c r="G1330" s="381" t="s">
        <v>400</v>
      </c>
      <c r="H1330" s="381" t="s">
        <v>401</v>
      </c>
      <c r="I1330" s="382" t="s">
        <v>402</v>
      </c>
    </row>
    <row r="1331" spans="1:9" ht="13.5" hidden="1" thickTop="1">
      <c r="A1331" s="351">
        <v>69</v>
      </c>
      <c r="B1331" s="352" t="s">
        <v>556</v>
      </c>
      <c r="C1331" s="353"/>
      <c r="D1331" s="353"/>
      <c r="E1331" s="353"/>
      <c r="F1331" s="354"/>
      <c r="G1331" s="354"/>
      <c r="H1331" s="354"/>
      <c r="I1331" s="355"/>
    </row>
    <row r="1332" spans="1:9" hidden="1">
      <c r="A1332" s="334"/>
      <c r="B1332" s="335">
        <v>1.67E-2</v>
      </c>
      <c r="C1332" s="336" t="s">
        <v>511</v>
      </c>
      <c r="D1332" s="336" t="s">
        <v>3</v>
      </c>
      <c r="E1332" s="336"/>
      <c r="F1332" s="337">
        <f>[2]Hardas!$E$10</f>
        <v>100000</v>
      </c>
      <c r="G1332" s="338">
        <f>F1332*B1332</f>
        <v>1670</v>
      </c>
      <c r="H1332" s="338"/>
      <c r="I1332" s="339"/>
    </row>
    <row r="1333" spans="1:9" hidden="1">
      <c r="A1333" s="334"/>
      <c r="B1333" s="335">
        <v>1.67E-2</v>
      </c>
      <c r="C1333" s="336" t="s">
        <v>511</v>
      </c>
      <c r="D1333" s="336" t="s">
        <v>4</v>
      </c>
      <c r="E1333" s="336"/>
      <c r="F1333" s="338">
        <f>[2]Hardas!$E$11</f>
        <v>91000</v>
      </c>
      <c r="G1333" s="338">
        <f>F1333*B1333</f>
        <v>1519.7</v>
      </c>
      <c r="H1333" s="338"/>
      <c r="I1333" s="339"/>
    </row>
    <row r="1334" spans="1:9" hidden="1">
      <c r="A1334" s="334"/>
      <c r="B1334" s="335">
        <v>1.67E-2</v>
      </c>
      <c r="C1334" s="336" t="s">
        <v>511</v>
      </c>
      <c r="D1334" s="336" t="s">
        <v>428</v>
      </c>
      <c r="E1334" s="336"/>
      <c r="F1334" s="338">
        <f>[2]Hardas!$E$14</f>
        <v>82000</v>
      </c>
      <c r="G1334" s="338">
        <f>F1334*B1334</f>
        <v>1369.3999999999999</v>
      </c>
      <c r="H1334" s="338"/>
      <c r="I1334" s="339"/>
    </row>
    <row r="1335" spans="1:9" hidden="1">
      <c r="A1335" s="334"/>
      <c r="B1335" s="335">
        <v>1.1000000000000001</v>
      </c>
      <c r="C1335" s="336" t="s">
        <v>511</v>
      </c>
      <c r="D1335" s="336" t="s">
        <v>6</v>
      </c>
      <c r="E1335" s="336"/>
      <c r="F1335" s="338">
        <f>[2]Hardas!$E$21</f>
        <v>59000</v>
      </c>
      <c r="G1335" s="338">
        <f>F1335*B1335</f>
        <v>64900.000000000007</v>
      </c>
      <c r="H1335" s="338"/>
      <c r="I1335" s="339"/>
    </row>
    <row r="1336" spans="1:9" hidden="1">
      <c r="A1336" s="329"/>
      <c r="B1336" s="330"/>
      <c r="C1336" s="331"/>
      <c r="D1336" s="331"/>
      <c r="E1336" s="331" t="s">
        <v>405</v>
      </c>
      <c r="F1336" s="332"/>
      <c r="G1336" s="332"/>
      <c r="H1336" s="332"/>
      <c r="I1336" s="333">
        <f>SUM(G1332:G1336)</f>
        <v>69459.100000000006</v>
      </c>
    </row>
    <row r="1337" spans="1:9" hidden="1">
      <c r="A1337" s="334"/>
      <c r="B1337" s="335"/>
      <c r="C1337" s="336"/>
      <c r="D1337" s="336"/>
      <c r="E1337" s="336"/>
      <c r="F1337" s="338"/>
      <c r="G1337" s="338"/>
      <c r="H1337" s="338"/>
      <c r="I1337" s="339"/>
    </row>
    <row r="1338" spans="1:9" hidden="1">
      <c r="A1338" s="334"/>
      <c r="B1338" s="335">
        <v>0.3</v>
      </c>
      <c r="C1338" s="336" t="s">
        <v>40</v>
      </c>
      <c r="D1338" s="336" t="s">
        <v>557</v>
      </c>
      <c r="E1338" s="336"/>
      <c r="F1338" s="338">
        <f>[2]Hardas!$E$35</f>
        <v>364500</v>
      </c>
      <c r="G1338" s="338"/>
      <c r="H1338" s="338">
        <f t="shared" ref="H1338:H1343" si="20">F1338*B1338</f>
        <v>109350</v>
      </c>
      <c r="I1338" s="339"/>
    </row>
    <row r="1339" spans="1:9" hidden="1">
      <c r="A1339" s="334"/>
      <c r="B1339" s="335">
        <v>0.15</v>
      </c>
      <c r="C1339" s="336" t="s">
        <v>40</v>
      </c>
      <c r="D1339" s="336" t="s">
        <v>558</v>
      </c>
      <c r="E1339" s="336"/>
      <c r="F1339" s="338">
        <f>[2]Hardas!$E$36</f>
        <v>364500</v>
      </c>
      <c r="G1339" s="338"/>
      <c r="H1339" s="338">
        <f t="shared" si="20"/>
        <v>54675</v>
      </c>
      <c r="I1339" s="339"/>
    </row>
    <row r="1340" spans="1:9" hidden="1">
      <c r="A1340" s="334"/>
      <c r="B1340" s="335">
        <v>0.16700000000000001</v>
      </c>
      <c r="C1340" s="336" t="s">
        <v>40</v>
      </c>
      <c r="D1340" s="336" t="s">
        <v>559</v>
      </c>
      <c r="E1340" s="336"/>
      <c r="F1340" s="338">
        <f>[2]Hardas!$E$38</f>
        <v>364500</v>
      </c>
      <c r="G1340" s="338"/>
      <c r="H1340" s="338">
        <f t="shared" si="20"/>
        <v>60871.5</v>
      </c>
      <c r="I1340" s="339"/>
    </row>
    <row r="1341" spans="1:9" hidden="1">
      <c r="A1341" s="334"/>
      <c r="B1341" s="335">
        <v>0.1</v>
      </c>
      <c r="C1341" s="336" t="s">
        <v>40</v>
      </c>
      <c r="D1341" s="336" t="s">
        <v>560</v>
      </c>
      <c r="E1341" s="336"/>
      <c r="F1341" s="338">
        <f>[2]Hardas!$E$37</f>
        <v>364500</v>
      </c>
      <c r="G1341" s="338"/>
      <c r="H1341" s="338">
        <f t="shared" si="20"/>
        <v>36450</v>
      </c>
      <c r="I1341" s="339"/>
    </row>
    <row r="1342" spans="1:9" hidden="1">
      <c r="A1342" s="334"/>
      <c r="B1342" s="335">
        <v>0.48330000000000001</v>
      </c>
      <c r="C1342" s="336" t="s">
        <v>40</v>
      </c>
      <c r="D1342" s="336" t="s">
        <v>552</v>
      </c>
      <c r="E1342" s="336"/>
      <c r="F1342" s="338">
        <f>[2]Hardas!$E$32</f>
        <v>101360</v>
      </c>
      <c r="G1342" s="338"/>
      <c r="H1342" s="338">
        <f t="shared" si="20"/>
        <v>48987.288</v>
      </c>
      <c r="I1342" s="339"/>
    </row>
    <row r="1343" spans="1:9" hidden="1">
      <c r="A1343" s="334"/>
      <c r="B1343" s="335">
        <v>4.8000000000000001E-2</v>
      </c>
      <c r="C1343" s="336"/>
      <c r="D1343" s="336" t="s">
        <v>41</v>
      </c>
      <c r="E1343" s="336"/>
      <c r="F1343" s="338">
        <f>[2]Hardas!$E$216*1000</f>
        <v>5000000</v>
      </c>
      <c r="G1343" s="338"/>
      <c r="H1343" s="338">
        <f t="shared" si="20"/>
        <v>240000</v>
      </c>
      <c r="I1343" s="339"/>
    </row>
    <row r="1344" spans="1:9" hidden="1">
      <c r="A1344" s="329"/>
      <c r="B1344" s="330"/>
      <c r="C1344" s="331"/>
      <c r="D1344" s="331"/>
      <c r="E1344" s="331" t="s">
        <v>410</v>
      </c>
      <c r="F1344" s="332"/>
      <c r="G1344" s="332"/>
      <c r="H1344" s="332"/>
      <c r="I1344" s="333">
        <f>SUM(H1338:H1344)</f>
        <v>550333.78799999994</v>
      </c>
    </row>
    <row r="1345" spans="1:9" hidden="1">
      <c r="A1345" s="334"/>
      <c r="B1345" s="335"/>
      <c r="C1345" s="336"/>
      <c r="D1345" s="336"/>
      <c r="E1345" s="336"/>
      <c r="F1345" s="338"/>
      <c r="G1345" s="338"/>
      <c r="H1345" s="338"/>
      <c r="I1345" s="339"/>
    </row>
    <row r="1346" spans="1:9" hidden="1">
      <c r="A1346" s="334"/>
      <c r="B1346" s="335"/>
      <c r="C1346" s="336"/>
      <c r="D1346" s="336"/>
      <c r="E1346" s="336"/>
      <c r="F1346" s="338"/>
      <c r="G1346" s="338"/>
      <c r="H1346" s="338"/>
      <c r="I1346" s="339"/>
    </row>
    <row r="1347" spans="1:9" hidden="1">
      <c r="A1347" s="334"/>
      <c r="B1347" s="335"/>
      <c r="C1347" s="336"/>
      <c r="D1347" s="336"/>
      <c r="E1347" s="336"/>
      <c r="F1347" s="338"/>
      <c r="G1347" s="338"/>
      <c r="H1347" s="338"/>
      <c r="I1347" s="339"/>
    </row>
    <row r="1348" spans="1:9" hidden="1">
      <c r="A1348" s="329"/>
      <c r="B1348" s="330"/>
      <c r="C1348" s="331"/>
      <c r="D1348" s="331"/>
      <c r="E1348" s="331" t="s">
        <v>411</v>
      </c>
      <c r="F1348" s="332"/>
      <c r="G1348" s="332"/>
      <c r="H1348" s="332"/>
      <c r="I1348" s="333"/>
    </row>
    <row r="1349" spans="1:9" hidden="1">
      <c r="A1349" s="329"/>
      <c r="B1349" s="330"/>
      <c r="C1349" s="331"/>
      <c r="D1349" s="331" t="s">
        <v>412</v>
      </c>
      <c r="E1349" s="331"/>
      <c r="F1349" s="332"/>
      <c r="G1349" s="332"/>
      <c r="H1349" s="332"/>
      <c r="I1349" s="333">
        <f>SUM(I1332:I1348)</f>
        <v>619792.88799999992</v>
      </c>
    </row>
    <row r="1350" spans="1:9" hidden="1">
      <c r="A1350" s="329"/>
      <c r="B1350" s="330"/>
      <c r="C1350" s="331"/>
      <c r="D1350" s="331" t="s">
        <v>413</v>
      </c>
      <c r="E1350" s="331"/>
      <c r="F1350" s="332"/>
      <c r="G1350" s="332"/>
      <c r="H1350" s="332"/>
      <c r="I1350" s="333">
        <f>I1349*0.1</f>
        <v>61979.288799999995</v>
      </c>
    </row>
    <row r="1351" spans="1:9" hidden="1">
      <c r="A1351" s="385"/>
      <c r="B1351" s="361"/>
      <c r="C1351" s="362"/>
      <c r="D1351" s="363" t="s">
        <v>414</v>
      </c>
      <c r="E1351" s="362"/>
      <c r="F1351" s="364"/>
      <c r="G1351" s="364"/>
      <c r="H1351" s="364"/>
      <c r="I1351" s="365">
        <f>ROUNDDOWN(I1350+I1349,0)</f>
        <v>681772</v>
      </c>
    </row>
    <row r="1352" spans="1:9" ht="13.5" hidden="1" thickBot="1">
      <c r="A1352" s="386"/>
      <c r="B1352" s="367"/>
      <c r="C1352" s="368"/>
      <c r="D1352" s="369"/>
      <c r="E1352" s="368"/>
      <c r="F1352" s="370"/>
      <c r="G1352" s="370"/>
      <c r="H1352" s="370"/>
      <c r="I1352" s="371"/>
    </row>
    <row r="1353" spans="1:9" ht="14.25" hidden="1" thickTop="1" thickBot="1">
      <c r="A1353" s="309" t="s">
        <v>0</v>
      </c>
      <c r="B1353" s="380" t="s">
        <v>397</v>
      </c>
      <c r="C1353" s="310" t="s">
        <v>398</v>
      </c>
      <c r="D1353" s="310" t="s">
        <v>1</v>
      </c>
      <c r="E1353" s="311"/>
      <c r="F1353" s="381" t="s">
        <v>399</v>
      </c>
      <c r="G1353" s="381" t="s">
        <v>400</v>
      </c>
      <c r="H1353" s="381" t="s">
        <v>401</v>
      </c>
      <c r="I1353" s="382" t="s">
        <v>402</v>
      </c>
    </row>
    <row r="1354" spans="1:9" ht="13.5" hidden="1" thickTop="1">
      <c r="A1354" s="351">
        <v>70</v>
      </c>
      <c r="B1354" s="352" t="s">
        <v>561</v>
      </c>
      <c r="C1354" s="353"/>
      <c r="D1354" s="353"/>
      <c r="E1354" s="353"/>
      <c r="F1354" s="354"/>
      <c r="G1354" s="354"/>
      <c r="H1354" s="354"/>
      <c r="I1354" s="355"/>
    </row>
    <row r="1355" spans="1:9" hidden="1">
      <c r="A1355" s="334"/>
      <c r="B1355" s="335">
        <v>1.1000000000000001E-3</v>
      </c>
      <c r="C1355" s="336" t="s">
        <v>511</v>
      </c>
      <c r="D1355" s="336" t="s">
        <v>3</v>
      </c>
      <c r="E1355" s="336"/>
      <c r="F1355" s="337">
        <f>[2]Hardas!$E$10</f>
        <v>100000</v>
      </c>
      <c r="G1355" s="338">
        <f>F1355*B1355</f>
        <v>110</v>
      </c>
      <c r="H1355" s="338"/>
      <c r="I1355" s="339"/>
    </row>
    <row r="1356" spans="1:9" hidden="1">
      <c r="A1356" s="334"/>
      <c r="B1356" s="335">
        <v>4.4000000000000003E-3</v>
      </c>
      <c r="C1356" s="336" t="s">
        <v>511</v>
      </c>
      <c r="D1356" s="336" t="s">
        <v>4</v>
      </c>
      <c r="E1356" s="336"/>
      <c r="F1356" s="338">
        <f>[2]Hardas!$E$11</f>
        <v>91000</v>
      </c>
      <c r="G1356" s="338">
        <f>F1356*B1356</f>
        <v>400.40000000000003</v>
      </c>
      <c r="H1356" s="338"/>
      <c r="I1356" s="339"/>
    </row>
    <row r="1357" spans="1:9" hidden="1">
      <c r="A1357" s="334"/>
      <c r="B1357" s="335">
        <v>8.8999999999999999E-3</v>
      </c>
      <c r="C1357" s="336" t="s">
        <v>511</v>
      </c>
      <c r="D1357" s="336" t="s">
        <v>428</v>
      </c>
      <c r="E1357" s="336"/>
      <c r="F1357" s="338">
        <f>[2]Hardas!$E$14</f>
        <v>82000</v>
      </c>
      <c r="G1357" s="338">
        <f>F1357*B1357</f>
        <v>729.8</v>
      </c>
      <c r="H1357" s="338"/>
      <c r="I1357" s="339"/>
    </row>
    <row r="1358" spans="1:9" hidden="1">
      <c r="A1358" s="334"/>
      <c r="B1358" s="335">
        <v>1.3299999999999999E-2</v>
      </c>
      <c r="C1358" s="336" t="s">
        <v>511</v>
      </c>
      <c r="D1358" s="336" t="s">
        <v>6</v>
      </c>
      <c r="E1358" s="336"/>
      <c r="F1358" s="338">
        <f>[2]Hardas!$E$21</f>
        <v>59000</v>
      </c>
      <c r="G1358" s="338">
        <f>F1358*B1358</f>
        <v>784.69999999999993</v>
      </c>
      <c r="H1358" s="338"/>
      <c r="I1358" s="339"/>
    </row>
    <row r="1359" spans="1:9" hidden="1">
      <c r="A1359" s="329"/>
      <c r="B1359" s="330"/>
      <c r="C1359" s="331"/>
      <c r="D1359" s="331"/>
      <c r="E1359" s="331" t="s">
        <v>405</v>
      </c>
      <c r="F1359" s="332"/>
      <c r="G1359" s="332"/>
      <c r="H1359" s="332"/>
      <c r="I1359" s="333">
        <f>SUM(G1355:G1359)</f>
        <v>2024.9</v>
      </c>
    </row>
    <row r="1360" spans="1:9" hidden="1">
      <c r="A1360" s="334"/>
      <c r="B1360" s="335"/>
      <c r="C1360" s="336"/>
      <c r="D1360" s="336"/>
      <c r="E1360" s="336"/>
      <c r="F1360" s="338"/>
      <c r="G1360" s="338"/>
      <c r="H1360" s="338"/>
      <c r="I1360" s="339"/>
    </row>
    <row r="1361" spans="1:9" hidden="1">
      <c r="A1361" s="334"/>
      <c r="B1361" s="335">
        <v>0.38890000000000002</v>
      </c>
      <c r="C1361" s="336" t="s">
        <v>20</v>
      </c>
      <c r="D1361" s="336" t="s">
        <v>562</v>
      </c>
      <c r="E1361" s="336"/>
      <c r="F1361" s="338">
        <f>[2]Hardas!$E$214</f>
        <v>6000</v>
      </c>
      <c r="G1361" s="338"/>
      <c r="H1361" s="338">
        <f>F1361*B1361</f>
        <v>2333.4</v>
      </c>
      <c r="I1361" s="339"/>
    </row>
    <row r="1362" spans="1:9" hidden="1">
      <c r="A1362" s="334"/>
      <c r="B1362" s="335">
        <v>0.38890000000000002</v>
      </c>
      <c r="C1362" s="336" t="s">
        <v>40</v>
      </c>
      <c r="D1362" s="336" t="s">
        <v>563</v>
      </c>
      <c r="E1362" s="336"/>
      <c r="F1362" s="338">
        <f>[2]Hardas!$E$217</f>
        <v>491000</v>
      </c>
      <c r="G1362" s="338"/>
      <c r="H1362" s="338">
        <f>F1362*B1362</f>
        <v>190949.90000000002</v>
      </c>
      <c r="I1362" s="339"/>
    </row>
    <row r="1363" spans="1:9" hidden="1">
      <c r="A1363" s="334"/>
      <c r="B1363" s="335">
        <v>0.33329999999999999</v>
      </c>
      <c r="C1363" s="336" t="s">
        <v>39</v>
      </c>
      <c r="D1363" s="336" t="s">
        <v>42</v>
      </c>
      <c r="E1363" s="336"/>
      <c r="F1363" s="338">
        <f>[2]Hardas!$E$85</f>
        <v>8500</v>
      </c>
      <c r="G1363" s="338"/>
      <c r="H1363" s="338">
        <f>F1363*B1363</f>
        <v>2833.0499999999997</v>
      </c>
      <c r="I1363" s="339"/>
    </row>
    <row r="1364" spans="1:9" hidden="1">
      <c r="A1364" s="334"/>
      <c r="B1364" s="335">
        <v>0.1111</v>
      </c>
      <c r="C1364" s="336" t="s">
        <v>40</v>
      </c>
      <c r="D1364" s="336" t="s">
        <v>43</v>
      </c>
      <c r="E1364" s="336"/>
      <c r="F1364" s="338">
        <f>[2]Hardas!$E$218</f>
        <v>245500</v>
      </c>
      <c r="G1364" s="338"/>
      <c r="H1364" s="338">
        <f>F1364*B1364</f>
        <v>27275.05</v>
      </c>
      <c r="I1364" s="339"/>
    </row>
    <row r="1365" spans="1:9" hidden="1">
      <c r="A1365" s="329"/>
      <c r="B1365" s="330"/>
      <c r="C1365" s="331"/>
      <c r="D1365" s="331"/>
      <c r="E1365" s="331" t="s">
        <v>410</v>
      </c>
      <c r="F1365" s="332"/>
      <c r="G1365" s="332"/>
      <c r="H1365" s="332"/>
      <c r="I1365" s="333">
        <f>SUM(H1361:H1365)</f>
        <v>223391.4</v>
      </c>
    </row>
    <row r="1366" spans="1:9" hidden="1">
      <c r="A1366" s="334"/>
      <c r="B1366" s="335"/>
      <c r="C1366" s="336"/>
      <c r="D1366" s="336"/>
      <c r="E1366" s="336"/>
      <c r="F1366" s="338"/>
      <c r="G1366" s="338"/>
      <c r="H1366" s="338"/>
      <c r="I1366" s="339"/>
    </row>
    <row r="1367" spans="1:9" hidden="1">
      <c r="A1367" s="334"/>
      <c r="B1367" s="335"/>
      <c r="C1367" s="336"/>
      <c r="D1367" s="336"/>
      <c r="E1367" s="336"/>
      <c r="F1367" s="338"/>
      <c r="G1367" s="338"/>
      <c r="H1367" s="338"/>
      <c r="I1367" s="339"/>
    </row>
    <row r="1368" spans="1:9" hidden="1">
      <c r="A1368" s="334"/>
      <c r="B1368" s="335"/>
      <c r="C1368" s="336"/>
      <c r="D1368" s="336"/>
      <c r="E1368" s="336"/>
      <c r="F1368" s="338"/>
      <c r="G1368" s="338"/>
      <c r="H1368" s="338"/>
      <c r="I1368" s="339"/>
    </row>
    <row r="1369" spans="1:9" hidden="1">
      <c r="A1369" s="329"/>
      <c r="B1369" s="330"/>
      <c r="C1369" s="331"/>
      <c r="D1369" s="331"/>
      <c r="E1369" s="331" t="s">
        <v>411</v>
      </c>
      <c r="F1369" s="332"/>
      <c r="G1369" s="332"/>
      <c r="H1369" s="332"/>
      <c r="I1369" s="333"/>
    </row>
    <row r="1370" spans="1:9" hidden="1">
      <c r="A1370" s="329"/>
      <c r="B1370" s="330"/>
      <c r="C1370" s="331"/>
      <c r="D1370" s="331" t="s">
        <v>412</v>
      </c>
      <c r="E1370" s="331"/>
      <c r="F1370" s="332"/>
      <c r="G1370" s="332"/>
      <c r="H1370" s="332"/>
      <c r="I1370" s="333">
        <f>SUM(I1355:I1369)</f>
        <v>225416.3</v>
      </c>
    </row>
    <row r="1371" spans="1:9" hidden="1">
      <c r="A1371" s="329"/>
      <c r="B1371" s="330"/>
      <c r="C1371" s="331"/>
      <c r="D1371" s="331" t="s">
        <v>413</v>
      </c>
      <c r="E1371" s="331"/>
      <c r="F1371" s="332"/>
      <c r="G1371" s="332"/>
      <c r="H1371" s="332"/>
      <c r="I1371" s="333">
        <f>I1370*0.1</f>
        <v>22541.63</v>
      </c>
    </row>
    <row r="1372" spans="1:9" hidden="1">
      <c r="A1372" s="385"/>
      <c r="B1372" s="361"/>
      <c r="C1372" s="362"/>
      <c r="D1372" s="363" t="s">
        <v>414</v>
      </c>
      <c r="E1372" s="362"/>
      <c r="F1372" s="364"/>
      <c r="G1372" s="364"/>
      <c r="H1372" s="364"/>
      <c r="I1372" s="365">
        <f>ROUNDDOWN(I1371+I1370,0)</f>
        <v>247957</v>
      </c>
    </row>
    <row r="1373" spans="1:9" ht="13.5" hidden="1" thickBot="1">
      <c r="A1373" s="386"/>
      <c r="B1373" s="367"/>
      <c r="C1373" s="368"/>
      <c r="D1373" s="369"/>
      <c r="E1373" s="368"/>
      <c r="F1373" s="370"/>
      <c r="G1373" s="370"/>
      <c r="H1373" s="370"/>
      <c r="I1373" s="371"/>
    </row>
    <row r="1374" spans="1:9" ht="14.25" hidden="1" thickTop="1" thickBot="1">
      <c r="A1374" s="309" t="s">
        <v>0</v>
      </c>
      <c r="B1374" s="380" t="s">
        <v>397</v>
      </c>
      <c r="C1374" s="310" t="s">
        <v>398</v>
      </c>
      <c r="D1374" s="310" t="s">
        <v>1</v>
      </c>
      <c r="E1374" s="311"/>
      <c r="F1374" s="381" t="s">
        <v>399</v>
      </c>
      <c r="G1374" s="381" t="s">
        <v>400</v>
      </c>
      <c r="H1374" s="381" t="s">
        <v>401</v>
      </c>
      <c r="I1374" s="382" t="s">
        <v>402</v>
      </c>
    </row>
    <row r="1375" spans="1:9" ht="13.5" hidden="1" thickTop="1">
      <c r="A1375" s="351">
        <v>71</v>
      </c>
      <c r="B1375" s="352" t="s">
        <v>564</v>
      </c>
      <c r="C1375" s="353"/>
      <c r="D1375" s="353"/>
      <c r="E1375" s="353"/>
      <c r="F1375" s="354"/>
      <c r="G1375" s="354"/>
      <c r="H1375" s="354"/>
      <c r="I1375" s="355"/>
    </row>
    <row r="1376" spans="1:9" hidden="1">
      <c r="A1376" s="334"/>
      <c r="B1376" s="335">
        <v>1.1000000000000001E-3</v>
      </c>
      <c r="C1376" s="336" t="s">
        <v>511</v>
      </c>
      <c r="D1376" s="336" t="s">
        <v>3</v>
      </c>
      <c r="E1376" s="336"/>
      <c r="F1376" s="337">
        <f>[2]Hardas!$E$10</f>
        <v>100000</v>
      </c>
      <c r="G1376" s="338">
        <f>F1376*B1376</f>
        <v>110</v>
      </c>
      <c r="H1376" s="338"/>
      <c r="I1376" s="339"/>
    </row>
    <row r="1377" spans="1:9" hidden="1">
      <c r="A1377" s="334"/>
      <c r="B1377" s="335">
        <v>4.4000000000000003E-3</v>
      </c>
      <c r="C1377" s="336" t="s">
        <v>511</v>
      </c>
      <c r="D1377" s="336" t="s">
        <v>4</v>
      </c>
      <c r="E1377" s="336"/>
      <c r="F1377" s="338">
        <f>[2]Hardas!$E$11</f>
        <v>91000</v>
      </c>
      <c r="G1377" s="338">
        <f>F1377*B1377</f>
        <v>400.40000000000003</v>
      </c>
      <c r="H1377" s="338"/>
      <c r="I1377" s="339"/>
    </row>
    <row r="1378" spans="1:9" hidden="1">
      <c r="A1378" s="334"/>
      <c r="B1378" s="335">
        <v>8.8999999999999999E-3</v>
      </c>
      <c r="C1378" s="336" t="s">
        <v>511</v>
      </c>
      <c r="D1378" s="336" t="s">
        <v>428</v>
      </c>
      <c r="E1378" s="336"/>
      <c r="F1378" s="338">
        <f>[2]Hardas!$E$14</f>
        <v>82000</v>
      </c>
      <c r="G1378" s="338">
        <f>F1378*B1378</f>
        <v>729.8</v>
      </c>
      <c r="H1378" s="338"/>
      <c r="I1378" s="339"/>
    </row>
    <row r="1379" spans="1:9" hidden="1">
      <c r="A1379" s="334"/>
      <c r="B1379" s="335">
        <v>1.3299999999999999E-2</v>
      </c>
      <c r="C1379" s="336" t="s">
        <v>511</v>
      </c>
      <c r="D1379" s="336" t="s">
        <v>6</v>
      </c>
      <c r="E1379" s="336"/>
      <c r="F1379" s="338">
        <f>[2]Hardas!$E$21</f>
        <v>59000</v>
      </c>
      <c r="G1379" s="338">
        <f>F1379*B1379</f>
        <v>784.69999999999993</v>
      </c>
      <c r="H1379" s="338"/>
      <c r="I1379" s="339"/>
    </row>
    <row r="1380" spans="1:9" hidden="1">
      <c r="A1380" s="329"/>
      <c r="B1380" s="330"/>
      <c r="C1380" s="331"/>
      <c r="D1380" s="331"/>
      <c r="E1380" s="331" t="s">
        <v>405</v>
      </c>
      <c r="F1380" s="332"/>
      <c r="G1380" s="332"/>
      <c r="H1380" s="332"/>
      <c r="I1380" s="333">
        <f>SUM(G1376:G1380)</f>
        <v>2024.9</v>
      </c>
    </row>
    <row r="1381" spans="1:9" hidden="1">
      <c r="A1381" s="334"/>
      <c r="B1381" s="335"/>
      <c r="C1381" s="336"/>
      <c r="D1381" s="336"/>
      <c r="E1381" s="336"/>
      <c r="F1381" s="338"/>
      <c r="G1381" s="338"/>
      <c r="H1381" s="338"/>
      <c r="I1381" s="339"/>
    </row>
    <row r="1382" spans="1:9" hidden="1">
      <c r="A1382" s="334"/>
      <c r="B1382" s="335">
        <v>0.3</v>
      </c>
      <c r="C1382" s="336" t="s">
        <v>20</v>
      </c>
      <c r="D1382" s="336" t="s">
        <v>562</v>
      </c>
      <c r="E1382" s="336"/>
      <c r="F1382" s="338">
        <f>[2]Hardas!$E$214</f>
        <v>6000</v>
      </c>
      <c r="G1382" s="338"/>
      <c r="H1382" s="338">
        <f>F1382*B1382</f>
        <v>1800</v>
      </c>
      <c r="I1382" s="339"/>
    </row>
    <row r="1383" spans="1:9" hidden="1">
      <c r="A1383" s="334"/>
      <c r="B1383" s="335">
        <v>0.2</v>
      </c>
      <c r="C1383" s="336" t="s">
        <v>39</v>
      </c>
      <c r="D1383" s="336" t="s">
        <v>42</v>
      </c>
      <c r="E1383" s="336"/>
      <c r="F1383" s="338">
        <f>[2]Hardas!$E$85</f>
        <v>8500</v>
      </c>
      <c r="G1383" s="338"/>
      <c r="H1383" s="338">
        <f>F1383*B1383</f>
        <v>1700</v>
      </c>
      <c r="I1383" s="339"/>
    </row>
    <row r="1384" spans="1:9" hidden="1">
      <c r="A1384" s="334"/>
      <c r="B1384" s="335">
        <f>0.0667</f>
        <v>6.6699999999999995E-2</v>
      </c>
      <c r="C1384" s="336" t="s">
        <v>554</v>
      </c>
      <c r="D1384" s="336" t="s">
        <v>43</v>
      </c>
      <c r="E1384" s="336"/>
      <c r="F1384" s="338">
        <f>[2]Hardas!$E$218</f>
        <v>245500</v>
      </c>
      <c r="G1384" s="338"/>
      <c r="H1384" s="338">
        <f>F1384*B1384</f>
        <v>16374.849999999999</v>
      </c>
      <c r="I1384" s="339"/>
    </row>
    <row r="1385" spans="1:9" hidden="1">
      <c r="A1385" s="329"/>
      <c r="B1385" s="330"/>
      <c r="C1385" s="331"/>
      <c r="D1385" s="331"/>
      <c r="E1385" s="331" t="s">
        <v>410</v>
      </c>
      <c r="F1385" s="332"/>
      <c r="G1385" s="332"/>
      <c r="H1385" s="332"/>
      <c r="I1385" s="333">
        <f>SUM(H1382:H1385)</f>
        <v>19874.849999999999</v>
      </c>
    </row>
    <row r="1386" spans="1:9" hidden="1">
      <c r="A1386" s="334"/>
      <c r="B1386" s="335"/>
      <c r="C1386" s="336"/>
      <c r="D1386" s="336"/>
      <c r="E1386" s="336"/>
      <c r="F1386" s="338"/>
      <c r="G1386" s="338"/>
      <c r="H1386" s="338"/>
      <c r="I1386" s="339"/>
    </row>
    <row r="1387" spans="1:9" hidden="1">
      <c r="A1387" s="334"/>
      <c r="B1387" s="335"/>
      <c r="C1387" s="336"/>
      <c r="D1387" s="336"/>
      <c r="E1387" s="336"/>
      <c r="F1387" s="338"/>
      <c r="G1387" s="338"/>
      <c r="H1387" s="338"/>
      <c r="I1387" s="339"/>
    </row>
    <row r="1388" spans="1:9" hidden="1">
      <c r="A1388" s="334"/>
      <c r="B1388" s="335"/>
      <c r="C1388" s="336"/>
      <c r="D1388" s="336"/>
      <c r="E1388" s="336"/>
      <c r="F1388" s="338"/>
      <c r="G1388" s="338"/>
      <c r="H1388" s="338"/>
      <c r="I1388" s="339"/>
    </row>
    <row r="1389" spans="1:9" hidden="1">
      <c r="A1389" s="329"/>
      <c r="B1389" s="330"/>
      <c r="C1389" s="331"/>
      <c r="D1389" s="331"/>
      <c r="E1389" s="331" t="s">
        <v>411</v>
      </c>
      <c r="F1389" s="332"/>
      <c r="G1389" s="332"/>
      <c r="H1389" s="332"/>
      <c r="I1389" s="333"/>
    </row>
    <row r="1390" spans="1:9" hidden="1">
      <c r="A1390" s="329"/>
      <c r="B1390" s="330"/>
      <c r="C1390" s="331"/>
      <c r="D1390" s="331" t="s">
        <v>412</v>
      </c>
      <c r="E1390" s="331"/>
      <c r="F1390" s="332"/>
      <c r="G1390" s="332"/>
      <c r="H1390" s="332"/>
      <c r="I1390" s="333">
        <f>SUM(I1376:I1389)</f>
        <v>21899.75</v>
      </c>
    </row>
    <row r="1391" spans="1:9" hidden="1">
      <c r="A1391" s="329"/>
      <c r="B1391" s="330"/>
      <c r="C1391" s="331"/>
      <c r="D1391" s="331" t="s">
        <v>413</v>
      </c>
      <c r="E1391" s="331"/>
      <c r="F1391" s="332"/>
      <c r="G1391" s="332"/>
      <c r="H1391" s="332"/>
      <c r="I1391" s="333">
        <f>I1390*0.1</f>
        <v>2189.9749999999999</v>
      </c>
    </row>
    <row r="1392" spans="1:9" hidden="1">
      <c r="A1392" s="385"/>
      <c r="B1392" s="361"/>
      <c r="C1392" s="362"/>
      <c r="D1392" s="363" t="s">
        <v>414</v>
      </c>
      <c r="E1392" s="362"/>
      <c r="F1392" s="364"/>
      <c r="G1392" s="364"/>
      <c r="H1392" s="364"/>
      <c r="I1392" s="365">
        <f>ROUNDDOWN(I1391+I1390,0)</f>
        <v>24089</v>
      </c>
    </row>
    <row r="1393" spans="1:9" ht="13.5" hidden="1" thickBot="1">
      <c r="A1393" s="386"/>
      <c r="B1393" s="367"/>
      <c r="C1393" s="368"/>
      <c r="D1393" s="369"/>
      <c r="E1393" s="368"/>
      <c r="F1393" s="370"/>
      <c r="G1393" s="370"/>
      <c r="H1393" s="370"/>
      <c r="I1393" s="371"/>
    </row>
    <row r="1394" spans="1:9" ht="14.25" hidden="1" thickTop="1" thickBot="1">
      <c r="A1394" s="309" t="s">
        <v>0</v>
      </c>
      <c r="B1394" s="380" t="s">
        <v>397</v>
      </c>
      <c r="C1394" s="310" t="s">
        <v>398</v>
      </c>
      <c r="D1394" s="310" t="s">
        <v>1</v>
      </c>
      <c r="E1394" s="311"/>
      <c r="F1394" s="381" t="s">
        <v>399</v>
      </c>
      <c r="G1394" s="381" t="s">
        <v>400</v>
      </c>
      <c r="H1394" s="381" t="s">
        <v>401</v>
      </c>
      <c r="I1394" s="382" t="s">
        <v>402</v>
      </c>
    </row>
    <row r="1395" spans="1:9" ht="13.5" hidden="1" thickTop="1">
      <c r="A1395" s="351">
        <v>72</v>
      </c>
      <c r="B1395" s="352" t="s">
        <v>565</v>
      </c>
      <c r="C1395" s="353"/>
      <c r="D1395" s="353"/>
      <c r="E1395" s="353"/>
      <c r="F1395" s="354"/>
      <c r="G1395" s="354"/>
      <c r="H1395" s="354"/>
      <c r="I1395" s="355"/>
    </row>
    <row r="1396" spans="1:9" hidden="1">
      <c r="A1396" s="334"/>
      <c r="B1396" s="335">
        <v>0.03</v>
      </c>
      <c r="C1396" s="336" t="s">
        <v>511</v>
      </c>
      <c r="D1396" s="336" t="s">
        <v>3</v>
      </c>
      <c r="E1396" s="336"/>
      <c r="F1396" s="337">
        <f>[2]Hardas!$E$10</f>
        <v>100000</v>
      </c>
      <c r="G1396" s="338">
        <f>F1396*B1396</f>
        <v>3000</v>
      </c>
      <c r="H1396" s="338"/>
      <c r="I1396" s="339"/>
    </row>
    <row r="1397" spans="1:9" hidden="1">
      <c r="A1397" s="334"/>
      <c r="B1397" s="335">
        <v>0.1</v>
      </c>
      <c r="C1397" s="336" t="s">
        <v>511</v>
      </c>
      <c r="D1397" s="336" t="s">
        <v>4</v>
      </c>
      <c r="E1397" s="336"/>
      <c r="F1397" s="338">
        <f>[2]Hardas!$E$11</f>
        <v>91000</v>
      </c>
      <c r="G1397" s="338">
        <f>F1397*B1397</f>
        <v>9100</v>
      </c>
      <c r="H1397" s="338"/>
      <c r="I1397" s="339"/>
    </row>
    <row r="1398" spans="1:9" hidden="1">
      <c r="A1398" s="334"/>
      <c r="B1398" s="335">
        <v>1.5</v>
      </c>
      <c r="C1398" s="336" t="s">
        <v>511</v>
      </c>
      <c r="D1398" s="336" t="s">
        <v>5</v>
      </c>
      <c r="E1398" s="336"/>
      <c r="F1398" s="338">
        <f>[2]Hardas!$E$13</f>
        <v>82000</v>
      </c>
      <c r="G1398" s="338">
        <f>F1398*B1398</f>
        <v>123000</v>
      </c>
      <c r="H1398" s="338"/>
      <c r="I1398" s="339"/>
    </row>
    <row r="1399" spans="1:9" hidden="1">
      <c r="A1399" s="334"/>
      <c r="B1399" s="335">
        <v>0.6</v>
      </c>
      <c r="C1399" s="336" t="s">
        <v>511</v>
      </c>
      <c r="D1399" s="336" t="s">
        <v>6</v>
      </c>
      <c r="E1399" s="336"/>
      <c r="F1399" s="338">
        <f>[2]Hardas!$E$21</f>
        <v>59000</v>
      </c>
      <c r="G1399" s="338">
        <f>F1399*B1399</f>
        <v>35400</v>
      </c>
      <c r="H1399" s="338"/>
      <c r="I1399" s="339"/>
    </row>
    <row r="1400" spans="1:9" hidden="1">
      <c r="A1400" s="329"/>
      <c r="B1400" s="330"/>
      <c r="C1400" s="331"/>
      <c r="D1400" s="331"/>
      <c r="E1400" s="331" t="s">
        <v>405</v>
      </c>
      <c r="F1400" s="332"/>
      <c r="G1400" s="332"/>
      <c r="H1400" s="332"/>
      <c r="I1400" s="333">
        <f>SUM(G1396:G1400)</f>
        <v>170500</v>
      </c>
    </row>
    <row r="1401" spans="1:9" hidden="1">
      <c r="A1401" s="334"/>
      <c r="B1401" s="335"/>
      <c r="C1401" s="336"/>
      <c r="D1401" s="336"/>
      <c r="E1401" s="336"/>
      <c r="F1401" s="338"/>
      <c r="G1401" s="338"/>
      <c r="H1401" s="338"/>
      <c r="I1401" s="339"/>
    </row>
    <row r="1402" spans="1:9" hidden="1">
      <c r="A1402" s="334"/>
      <c r="B1402" s="335">
        <f>162/2</f>
        <v>81</v>
      </c>
      <c r="C1402" s="336" t="s">
        <v>566</v>
      </c>
      <c r="D1402" s="336" t="s">
        <v>31</v>
      </c>
      <c r="E1402" s="336"/>
      <c r="F1402" s="338">
        <f>[2]Hardas!$E$71</f>
        <v>70360</v>
      </c>
      <c r="G1402" s="338"/>
      <c r="H1402" s="338">
        <f t="shared" ref="H1402:H1409" si="21">F1402*B1402</f>
        <v>5699160</v>
      </c>
      <c r="I1402" s="339"/>
    </row>
    <row r="1403" spans="1:9" hidden="1">
      <c r="A1403" s="334"/>
      <c r="B1403" s="335">
        <v>7.5</v>
      </c>
      <c r="C1403" s="336" t="s">
        <v>453</v>
      </c>
      <c r="D1403" s="336" t="s">
        <v>567</v>
      </c>
      <c r="E1403" s="336"/>
      <c r="F1403" s="338">
        <f>[2]Hardas!$E$117</f>
        <v>42190</v>
      </c>
      <c r="G1403" s="338"/>
      <c r="H1403" s="338">
        <f t="shared" si="21"/>
        <v>316425</v>
      </c>
      <c r="I1403" s="339"/>
    </row>
    <row r="1404" spans="1:9" hidden="1">
      <c r="A1404" s="334"/>
      <c r="B1404" s="335">
        <v>5.5</v>
      </c>
      <c r="C1404" s="336" t="s">
        <v>453</v>
      </c>
      <c r="D1404" s="336" t="s">
        <v>523</v>
      </c>
      <c r="E1404" s="336"/>
      <c r="F1404" s="338">
        <f>[2]Hardas!$E$152</f>
        <v>465450</v>
      </c>
      <c r="G1404" s="338"/>
      <c r="H1404" s="338">
        <f t="shared" si="21"/>
        <v>2559975</v>
      </c>
      <c r="I1404" s="339"/>
    </row>
    <row r="1405" spans="1:9" hidden="1">
      <c r="A1405" s="334"/>
      <c r="B1405" s="335">
        <v>3</v>
      </c>
      <c r="C1405" s="336" t="s">
        <v>568</v>
      </c>
      <c r="D1405" s="336" t="s">
        <v>513</v>
      </c>
      <c r="E1405" s="336"/>
      <c r="F1405" s="338">
        <f>[2]Hardas!$E$193</f>
        <v>195450</v>
      </c>
      <c r="G1405" s="338"/>
      <c r="H1405" s="338">
        <f t="shared" si="21"/>
        <v>586350</v>
      </c>
      <c r="I1405" s="339"/>
    </row>
    <row r="1406" spans="1:9" hidden="1">
      <c r="A1406" s="334"/>
      <c r="B1406" s="335">
        <v>6</v>
      </c>
      <c r="C1406" s="336" t="s">
        <v>568</v>
      </c>
      <c r="D1406" s="336" t="s">
        <v>517</v>
      </c>
      <c r="E1406" s="336"/>
      <c r="F1406" s="338">
        <f>[2]Hardas!$E$200</f>
        <v>50000</v>
      </c>
      <c r="G1406" s="338"/>
      <c r="H1406" s="338">
        <f t="shared" si="21"/>
        <v>300000</v>
      </c>
      <c r="I1406" s="339"/>
    </row>
    <row r="1407" spans="1:9" hidden="1">
      <c r="A1407" s="334"/>
      <c r="B1407" s="335">
        <v>3</v>
      </c>
      <c r="C1407" s="336" t="s">
        <v>566</v>
      </c>
      <c r="D1407" s="336" t="s">
        <v>37</v>
      </c>
      <c r="E1407" s="336"/>
      <c r="F1407" s="338">
        <f>[2]Hardas!$E$95</f>
        <v>5450</v>
      </c>
      <c r="G1407" s="338"/>
      <c r="H1407" s="338">
        <f t="shared" si="21"/>
        <v>16350</v>
      </c>
      <c r="I1407" s="339"/>
    </row>
    <row r="1408" spans="1:9" hidden="1">
      <c r="A1408" s="334"/>
      <c r="B1408" s="335">
        <v>3</v>
      </c>
      <c r="C1408" s="336" t="s">
        <v>566</v>
      </c>
      <c r="D1408" s="336" t="s">
        <v>44</v>
      </c>
      <c r="E1408" s="336"/>
      <c r="F1408" s="338">
        <f>[2]Hardas!$E$94</f>
        <v>5450</v>
      </c>
      <c r="G1408" s="338"/>
      <c r="H1408" s="338">
        <f t="shared" si="21"/>
        <v>16350</v>
      </c>
      <c r="I1408" s="339"/>
    </row>
    <row r="1409" spans="1:9" hidden="1">
      <c r="A1409" s="334"/>
      <c r="B1409" s="335">
        <v>5.5</v>
      </c>
      <c r="C1409" s="336" t="s">
        <v>453</v>
      </c>
      <c r="D1409" s="336" t="s">
        <v>45</v>
      </c>
      <c r="E1409" s="336"/>
      <c r="F1409" s="338">
        <f>[2]Hardas!$E$82</f>
        <v>25240</v>
      </c>
      <c r="G1409" s="338"/>
      <c r="H1409" s="338">
        <f t="shared" si="21"/>
        <v>138820</v>
      </c>
      <c r="I1409" s="339"/>
    </row>
    <row r="1410" spans="1:9" hidden="1">
      <c r="A1410" s="329"/>
      <c r="B1410" s="330"/>
      <c r="C1410" s="331"/>
      <c r="D1410" s="331"/>
      <c r="E1410" s="331" t="s">
        <v>410</v>
      </c>
      <c r="F1410" s="332"/>
      <c r="G1410" s="332"/>
      <c r="H1410" s="332"/>
      <c r="I1410" s="333">
        <f>SUM(H1402:H1410)</f>
        <v>9633430</v>
      </c>
    </row>
    <row r="1411" spans="1:9" hidden="1">
      <c r="A1411" s="334"/>
      <c r="B1411" s="335"/>
      <c r="C1411" s="336"/>
      <c r="D1411" s="336"/>
      <c r="E1411" s="336"/>
      <c r="F1411" s="338"/>
      <c r="G1411" s="338"/>
      <c r="H1411" s="338"/>
      <c r="I1411" s="339"/>
    </row>
    <row r="1412" spans="1:9" hidden="1">
      <c r="A1412" s="334"/>
      <c r="B1412" s="335">
        <v>1</v>
      </c>
      <c r="C1412" s="336" t="s">
        <v>446</v>
      </c>
      <c r="D1412" s="336" t="s">
        <v>9</v>
      </c>
      <c r="E1412" s="336"/>
      <c r="F1412" s="338">
        <f>I1410*0</f>
        <v>0</v>
      </c>
      <c r="G1412" s="338">
        <f>F1412*B1412</f>
        <v>0</v>
      </c>
      <c r="H1412" s="338"/>
      <c r="I1412" s="339"/>
    </row>
    <row r="1413" spans="1:9" hidden="1">
      <c r="A1413" s="334"/>
      <c r="B1413" s="335"/>
      <c r="C1413" s="336"/>
      <c r="D1413" s="336"/>
      <c r="E1413" s="336"/>
      <c r="F1413" s="338"/>
      <c r="G1413" s="338"/>
      <c r="H1413" s="338"/>
      <c r="I1413" s="339"/>
    </row>
    <row r="1414" spans="1:9" hidden="1">
      <c r="A1414" s="329"/>
      <c r="B1414" s="330"/>
      <c r="C1414" s="331"/>
      <c r="D1414" s="331"/>
      <c r="E1414" s="331" t="s">
        <v>411</v>
      </c>
      <c r="F1414" s="332"/>
      <c r="G1414" s="332"/>
      <c r="H1414" s="332"/>
      <c r="I1414" s="333">
        <f>SUM(G1412:G1414)</f>
        <v>0</v>
      </c>
    </row>
    <row r="1415" spans="1:9" hidden="1">
      <c r="A1415" s="329"/>
      <c r="B1415" s="330"/>
      <c r="C1415" s="331"/>
      <c r="D1415" s="331" t="s">
        <v>412</v>
      </c>
      <c r="E1415" s="331"/>
      <c r="F1415" s="332"/>
      <c r="G1415" s="332"/>
      <c r="H1415" s="332"/>
      <c r="I1415" s="333">
        <f>SUM(I1396:I1414)</f>
        <v>9803930</v>
      </c>
    </row>
    <row r="1416" spans="1:9" hidden="1">
      <c r="A1416" s="329"/>
      <c r="B1416" s="330"/>
      <c r="C1416" s="331"/>
      <c r="D1416" s="331" t="s">
        <v>413</v>
      </c>
      <c r="E1416" s="331"/>
      <c r="F1416" s="332"/>
      <c r="G1416" s="332"/>
      <c r="H1416" s="332"/>
      <c r="I1416" s="333">
        <f>I1415*0.1</f>
        <v>980393</v>
      </c>
    </row>
    <row r="1417" spans="1:9" hidden="1">
      <c r="A1417" s="385"/>
      <c r="B1417" s="361"/>
      <c r="C1417" s="362"/>
      <c r="D1417" s="363" t="s">
        <v>414</v>
      </c>
      <c r="E1417" s="362"/>
      <c r="F1417" s="364"/>
      <c r="G1417" s="364"/>
      <c r="H1417" s="364"/>
      <c r="I1417" s="365">
        <f>ROUNDDOWN(I1416+I1415,0)</f>
        <v>10784323</v>
      </c>
    </row>
    <row r="1418" spans="1:9" ht="13.5" hidden="1" thickBot="1">
      <c r="A1418" s="386"/>
      <c r="B1418" s="367"/>
      <c r="C1418" s="368"/>
      <c r="D1418" s="369"/>
      <c r="E1418" s="368"/>
      <c r="F1418" s="370"/>
      <c r="G1418" s="370"/>
      <c r="H1418" s="370"/>
      <c r="I1418" s="371"/>
    </row>
    <row r="1419" spans="1:9" ht="14.25" hidden="1" thickTop="1" thickBot="1">
      <c r="A1419" s="309" t="s">
        <v>0</v>
      </c>
      <c r="B1419" s="380" t="s">
        <v>397</v>
      </c>
      <c r="C1419" s="310" t="s">
        <v>398</v>
      </c>
      <c r="D1419" s="310" t="s">
        <v>1</v>
      </c>
      <c r="E1419" s="311"/>
      <c r="F1419" s="381" t="s">
        <v>399</v>
      </c>
      <c r="G1419" s="381" t="s">
        <v>400</v>
      </c>
      <c r="H1419" s="381" t="s">
        <v>401</v>
      </c>
      <c r="I1419" s="382" t="s">
        <v>402</v>
      </c>
    </row>
    <row r="1420" spans="1:9" ht="13.5" hidden="1" thickTop="1">
      <c r="A1420" s="351">
        <v>73</v>
      </c>
      <c r="B1420" s="352" t="s">
        <v>569</v>
      </c>
      <c r="C1420" s="353"/>
      <c r="D1420" s="353"/>
      <c r="E1420" s="353"/>
      <c r="F1420" s="354"/>
      <c r="G1420" s="354"/>
      <c r="H1420" s="354"/>
      <c r="I1420" s="355"/>
    </row>
    <row r="1421" spans="1:9" hidden="1">
      <c r="A1421" s="334"/>
      <c r="B1421" s="335">
        <v>0.03</v>
      </c>
      <c r="C1421" s="336" t="s">
        <v>511</v>
      </c>
      <c r="D1421" s="336" t="s">
        <v>3</v>
      </c>
      <c r="E1421" s="336"/>
      <c r="F1421" s="337">
        <f>[2]Hardas!$E$10</f>
        <v>100000</v>
      </c>
      <c r="G1421" s="338">
        <f>F1421*B1421</f>
        <v>3000</v>
      </c>
      <c r="H1421" s="338"/>
      <c r="I1421" s="339"/>
    </row>
    <row r="1422" spans="1:9" hidden="1">
      <c r="A1422" s="334"/>
      <c r="B1422" s="335">
        <v>0.1</v>
      </c>
      <c r="C1422" s="336" t="s">
        <v>511</v>
      </c>
      <c r="D1422" s="336" t="s">
        <v>4</v>
      </c>
      <c r="E1422" s="336"/>
      <c r="F1422" s="338">
        <f>[2]Hardas!$E$11</f>
        <v>91000</v>
      </c>
      <c r="G1422" s="338">
        <f>F1422*B1422</f>
        <v>9100</v>
      </c>
      <c r="H1422" s="338"/>
      <c r="I1422" s="339"/>
    </row>
    <row r="1423" spans="1:9" hidden="1">
      <c r="A1423" s="334"/>
      <c r="B1423" s="335">
        <v>1.5</v>
      </c>
      <c r="C1423" s="336" t="s">
        <v>511</v>
      </c>
      <c r="D1423" s="336" t="s">
        <v>5</v>
      </c>
      <c r="E1423" s="336"/>
      <c r="F1423" s="338">
        <f>[2]Hardas!$E$13</f>
        <v>82000</v>
      </c>
      <c r="G1423" s="338">
        <f>F1423*B1423</f>
        <v>123000</v>
      </c>
      <c r="H1423" s="338"/>
      <c r="I1423" s="339"/>
    </row>
    <row r="1424" spans="1:9" hidden="1">
      <c r="A1424" s="334"/>
      <c r="B1424" s="335">
        <v>0.6</v>
      </c>
      <c r="C1424" s="336" t="s">
        <v>511</v>
      </c>
      <c r="D1424" s="336" t="s">
        <v>6</v>
      </c>
      <c r="E1424" s="336"/>
      <c r="F1424" s="338">
        <f>[2]Hardas!$E$21</f>
        <v>59000</v>
      </c>
      <c r="G1424" s="338">
        <f>F1424*B1424</f>
        <v>35400</v>
      </c>
      <c r="H1424" s="338"/>
      <c r="I1424" s="339"/>
    </row>
    <row r="1425" spans="1:9" hidden="1">
      <c r="A1425" s="329"/>
      <c r="B1425" s="330"/>
      <c r="C1425" s="331"/>
      <c r="D1425" s="331"/>
      <c r="E1425" s="331" t="s">
        <v>405</v>
      </c>
      <c r="F1425" s="332"/>
      <c r="G1425" s="332"/>
      <c r="H1425" s="332"/>
      <c r="I1425" s="333">
        <f>SUM(G1421:G1425)</f>
        <v>170500</v>
      </c>
    </row>
    <row r="1426" spans="1:9" hidden="1">
      <c r="A1426" s="334"/>
      <c r="B1426" s="335"/>
      <c r="C1426" s="336"/>
      <c r="D1426" s="336"/>
      <c r="E1426" s="336"/>
      <c r="F1426" s="338"/>
      <c r="G1426" s="338"/>
      <c r="H1426" s="338"/>
      <c r="I1426" s="339"/>
    </row>
    <row r="1427" spans="1:9" hidden="1">
      <c r="A1427" s="334"/>
      <c r="B1427" s="335">
        <f>104/2</f>
        <v>52</v>
      </c>
      <c r="C1427" s="336" t="s">
        <v>566</v>
      </c>
      <c r="D1427" s="336" t="s">
        <v>31</v>
      </c>
      <c r="E1427" s="336"/>
      <c r="F1427" s="338">
        <f>[2]Hardas!$E$71</f>
        <v>70360</v>
      </c>
      <c r="G1427" s="338"/>
      <c r="H1427" s="338">
        <f t="shared" ref="H1427:H1434" si="22">F1427*B1427</f>
        <v>3658720</v>
      </c>
      <c r="I1427" s="339"/>
    </row>
    <row r="1428" spans="1:9" hidden="1">
      <c r="A1428" s="334"/>
      <c r="B1428" s="335">
        <v>48</v>
      </c>
      <c r="C1428" s="336" t="s">
        <v>453</v>
      </c>
      <c r="D1428" s="336" t="s">
        <v>567</v>
      </c>
      <c r="E1428" s="336"/>
      <c r="F1428" s="338">
        <f>[2]Hardas!$E$117</f>
        <v>42190</v>
      </c>
      <c r="G1428" s="338"/>
      <c r="H1428" s="338">
        <f t="shared" si="22"/>
        <v>2025120</v>
      </c>
      <c r="I1428" s="339"/>
    </row>
    <row r="1429" spans="1:9" hidden="1">
      <c r="A1429" s="334"/>
      <c r="B1429" s="335">
        <v>3.6</v>
      </c>
      <c r="C1429" s="336" t="s">
        <v>453</v>
      </c>
      <c r="D1429" s="336" t="s">
        <v>523</v>
      </c>
      <c r="E1429" s="336"/>
      <c r="F1429" s="338">
        <f>[2]Hardas!$E$152</f>
        <v>465450</v>
      </c>
      <c r="G1429" s="338"/>
      <c r="H1429" s="338">
        <f t="shared" si="22"/>
        <v>1675620</v>
      </c>
      <c r="I1429" s="339"/>
    </row>
    <row r="1430" spans="1:9" hidden="1">
      <c r="A1430" s="334"/>
      <c r="B1430" s="335">
        <v>2</v>
      </c>
      <c r="C1430" s="336" t="s">
        <v>568</v>
      </c>
      <c r="D1430" s="336" t="s">
        <v>513</v>
      </c>
      <c r="E1430" s="336"/>
      <c r="F1430" s="338">
        <f>[2]Hardas!$E$193</f>
        <v>195450</v>
      </c>
      <c r="G1430" s="338"/>
      <c r="H1430" s="338">
        <f t="shared" si="22"/>
        <v>390900</v>
      </c>
      <c r="I1430" s="339"/>
    </row>
    <row r="1431" spans="1:9" hidden="1">
      <c r="A1431" s="334"/>
      <c r="B1431" s="335">
        <v>4</v>
      </c>
      <c r="C1431" s="336" t="s">
        <v>568</v>
      </c>
      <c r="D1431" s="336" t="s">
        <v>517</v>
      </c>
      <c r="E1431" s="336"/>
      <c r="F1431" s="338">
        <f>[2]Hardas!$E$200</f>
        <v>50000</v>
      </c>
      <c r="G1431" s="338"/>
      <c r="H1431" s="338">
        <f t="shared" si="22"/>
        <v>200000</v>
      </c>
      <c r="I1431" s="339"/>
    </row>
    <row r="1432" spans="1:9" hidden="1">
      <c r="A1432" s="334"/>
      <c r="B1432" s="335">
        <v>19.2</v>
      </c>
      <c r="C1432" s="336" t="s">
        <v>566</v>
      </c>
      <c r="D1432" s="336" t="s">
        <v>37</v>
      </c>
      <c r="E1432" s="336"/>
      <c r="F1432" s="338">
        <f>[2]Hardas!$E$95</f>
        <v>5450</v>
      </c>
      <c r="G1432" s="338"/>
      <c r="H1432" s="338">
        <f t="shared" si="22"/>
        <v>104640</v>
      </c>
      <c r="I1432" s="339"/>
    </row>
    <row r="1433" spans="1:9" hidden="1">
      <c r="A1433" s="334"/>
      <c r="B1433" s="335">
        <v>19.2</v>
      </c>
      <c r="C1433" s="336" t="s">
        <v>566</v>
      </c>
      <c r="D1433" s="336" t="s">
        <v>44</v>
      </c>
      <c r="E1433" s="336"/>
      <c r="F1433" s="338">
        <f>[2]Hardas!$E$94</f>
        <v>5450</v>
      </c>
      <c r="G1433" s="338"/>
      <c r="H1433" s="338">
        <f t="shared" si="22"/>
        <v>104640</v>
      </c>
      <c r="I1433" s="339"/>
    </row>
    <row r="1434" spans="1:9" hidden="1">
      <c r="A1434" s="334"/>
      <c r="B1434" s="335">
        <v>3.6</v>
      </c>
      <c r="C1434" s="336" t="s">
        <v>453</v>
      </c>
      <c r="D1434" s="336" t="s">
        <v>45</v>
      </c>
      <c r="E1434" s="336"/>
      <c r="F1434" s="338">
        <f>[2]Hardas!$E$82</f>
        <v>25240</v>
      </c>
      <c r="G1434" s="338"/>
      <c r="H1434" s="338">
        <f t="shared" si="22"/>
        <v>90864</v>
      </c>
      <c r="I1434" s="339"/>
    </row>
    <row r="1435" spans="1:9" hidden="1">
      <c r="A1435" s="329"/>
      <c r="B1435" s="330"/>
      <c r="C1435" s="331"/>
      <c r="D1435" s="331"/>
      <c r="E1435" s="331" t="s">
        <v>410</v>
      </c>
      <c r="F1435" s="332"/>
      <c r="G1435" s="332"/>
      <c r="H1435" s="332"/>
      <c r="I1435" s="333">
        <f>SUM(H1427:H1435)</f>
        <v>8250504</v>
      </c>
    </row>
    <row r="1436" spans="1:9" hidden="1">
      <c r="A1436" s="334"/>
      <c r="B1436" s="335"/>
      <c r="C1436" s="336"/>
      <c r="D1436" s="336"/>
      <c r="E1436" s="336"/>
      <c r="F1436" s="338"/>
      <c r="G1436" s="338"/>
      <c r="H1436" s="338"/>
      <c r="I1436" s="339"/>
    </row>
    <row r="1437" spans="1:9" hidden="1">
      <c r="A1437" s="334"/>
      <c r="B1437" s="335">
        <v>1</v>
      </c>
      <c r="C1437" s="336" t="s">
        <v>446</v>
      </c>
      <c r="D1437" s="336" t="s">
        <v>9</v>
      </c>
      <c r="E1437" s="336"/>
      <c r="F1437" s="338"/>
      <c r="G1437" s="338">
        <f>F1437*B1437</f>
        <v>0</v>
      </c>
      <c r="H1437" s="338"/>
      <c r="I1437" s="339"/>
    </row>
    <row r="1438" spans="1:9" hidden="1">
      <c r="A1438" s="334"/>
      <c r="B1438" s="335"/>
      <c r="C1438" s="336"/>
      <c r="D1438" s="336"/>
      <c r="E1438" s="336"/>
      <c r="F1438" s="338"/>
      <c r="G1438" s="338"/>
      <c r="H1438" s="338"/>
      <c r="I1438" s="339"/>
    </row>
    <row r="1439" spans="1:9" hidden="1">
      <c r="A1439" s="329"/>
      <c r="B1439" s="330"/>
      <c r="C1439" s="331"/>
      <c r="D1439" s="331"/>
      <c r="E1439" s="331" t="s">
        <v>411</v>
      </c>
      <c r="F1439" s="332"/>
      <c r="G1439" s="332"/>
      <c r="H1439" s="332"/>
      <c r="I1439" s="333">
        <f>SUM(G1437:G1439)</f>
        <v>0</v>
      </c>
    </row>
    <row r="1440" spans="1:9" hidden="1">
      <c r="A1440" s="329"/>
      <c r="B1440" s="330"/>
      <c r="C1440" s="331"/>
      <c r="D1440" s="331" t="s">
        <v>412</v>
      </c>
      <c r="E1440" s="331"/>
      <c r="F1440" s="332"/>
      <c r="G1440" s="332"/>
      <c r="H1440" s="332"/>
      <c r="I1440" s="333">
        <f>SUM(I1421:I1439)</f>
        <v>8421004</v>
      </c>
    </row>
    <row r="1441" spans="1:9" hidden="1">
      <c r="A1441" s="329"/>
      <c r="B1441" s="330"/>
      <c r="C1441" s="331"/>
      <c r="D1441" s="331" t="s">
        <v>413</v>
      </c>
      <c r="E1441" s="331"/>
      <c r="F1441" s="332"/>
      <c r="G1441" s="332"/>
      <c r="H1441" s="332"/>
      <c r="I1441" s="333">
        <f>I1440*0.1</f>
        <v>842100.4</v>
      </c>
    </row>
    <row r="1442" spans="1:9" hidden="1">
      <c r="A1442" s="374"/>
      <c r="B1442" s="375"/>
      <c r="C1442" s="362"/>
      <c r="D1442" s="363" t="s">
        <v>414</v>
      </c>
      <c r="E1442" s="362"/>
      <c r="F1442" s="364"/>
      <c r="G1442" s="364"/>
      <c r="H1442" s="364"/>
      <c r="I1442" s="365">
        <f>ROUNDDOWN(I1441+I1440,0)</f>
        <v>9263104</v>
      </c>
    </row>
    <row r="1443" spans="1:9" ht="13.5" hidden="1" thickBot="1">
      <c r="A1443" s="377"/>
      <c r="B1443" s="378"/>
      <c r="C1443" s="368"/>
      <c r="D1443" s="369"/>
      <c r="E1443" s="368"/>
      <c r="F1443" s="370"/>
      <c r="G1443" s="370"/>
      <c r="H1443" s="370"/>
      <c r="I1443" s="371"/>
    </row>
    <row r="1444" spans="1:9" ht="14.25" hidden="1" thickTop="1" thickBot="1">
      <c r="A1444" s="309" t="s">
        <v>0</v>
      </c>
      <c r="B1444" s="380" t="s">
        <v>397</v>
      </c>
      <c r="C1444" s="310" t="s">
        <v>398</v>
      </c>
      <c r="D1444" s="310" t="s">
        <v>1</v>
      </c>
      <c r="E1444" s="311"/>
      <c r="F1444" s="381" t="s">
        <v>399</v>
      </c>
      <c r="G1444" s="381" t="s">
        <v>400</v>
      </c>
      <c r="H1444" s="381" t="s">
        <v>401</v>
      </c>
      <c r="I1444" s="382" t="s">
        <v>402</v>
      </c>
    </row>
    <row r="1445" spans="1:9" ht="13.5" hidden="1" thickTop="1">
      <c r="A1445" s="351">
        <v>74</v>
      </c>
      <c r="B1445" s="352" t="s">
        <v>570</v>
      </c>
      <c r="C1445" s="353"/>
      <c r="D1445" s="353"/>
      <c r="E1445" s="353"/>
      <c r="F1445" s="354"/>
      <c r="G1445" s="354"/>
      <c r="H1445" s="354"/>
      <c r="I1445" s="355"/>
    </row>
    <row r="1446" spans="1:9" hidden="1">
      <c r="A1446" s="334"/>
      <c r="B1446" s="335">
        <v>0.03</v>
      </c>
      <c r="C1446" s="336" t="s">
        <v>511</v>
      </c>
      <c r="D1446" s="336" t="s">
        <v>3</v>
      </c>
      <c r="E1446" s="336"/>
      <c r="F1446" s="337">
        <f>[2]Hardas!$E$10</f>
        <v>100000</v>
      </c>
      <c r="G1446" s="338">
        <f>F1446*B1446</f>
        <v>3000</v>
      </c>
      <c r="H1446" s="338"/>
      <c r="I1446" s="339"/>
    </row>
    <row r="1447" spans="1:9" hidden="1">
      <c r="A1447" s="334"/>
      <c r="B1447" s="335">
        <v>0.1</v>
      </c>
      <c r="C1447" s="336" t="s">
        <v>511</v>
      </c>
      <c r="D1447" s="336" t="s">
        <v>4</v>
      </c>
      <c r="E1447" s="336"/>
      <c r="F1447" s="338">
        <f>[2]Hardas!$E$11</f>
        <v>91000</v>
      </c>
      <c r="G1447" s="338">
        <f>F1447*B1447</f>
        <v>9100</v>
      </c>
      <c r="H1447" s="338"/>
      <c r="I1447" s="339"/>
    </row>
    <row r="1448" spans="1:9" hidden="1">
      <c r="A1448" s="334"/>
      <c r="B1448" s="335">
        <v>1.5</v>
      </c>
      <c r="C1448" s="336" t="s">
        <v>511</v>
      </c>
      <c r="D1448" s="336" t="s">
        <v>5</v>
      </c>
      <c r="E1448" s="336"/>
      <c r="F1448" s="338">
        <f>[2]Hardas!$E$13</f>
        <v>82000</v>
      </c>
      <c r="G1448" s="338">
        <f>F1448*B1448</f>
        <v>123000</v>
      </c>
      <c r="H1448" s="338"/>
      <c r="I1448" s="339"/>
    </row>
    <row r="1449" spans="1:9" hidden="1">
      <c r="A1449" s="334"/>
      <c r="B1449" s="335">
        <v>0.6</v>
      </c>
      <c r="C1449" s="336" t="s">
        <v>511</v>
      </c>
      <c r="D1449" s="336" t="s">
        <v>6</v>
      </c>
      <c r="E1449" s="336"/>
      <c r="F1449" s="338">
        <f>[2]Hardas!$E$21</f>
        <v>59000</v>
      </c>
      <c r="G1449" s="338">
        <f>F1449*B1449</f>
        <v>35400</v>
      </c>
      <c r="H1449" s="338"/>
      <c r="I1449" s="339"/>
    </row>
    <row r="1450" spans="1:9" hidden="1">
      <c r="A1450" s="329"/>
      <c r="B1450" s="330"/>
      <c r="C1450" s="331"/>
      <c r="D1450" s="331"/>
      <c r="E1450" s="331" t="s">
        <v>405</v>
      </c>
      <c r="F1450" s="332"/>
      <c r="G1450" s="332"/>
      <c r="H1450" s="332"/>
      <c r="I1450" s="333">
        <f>SUM(G1446:G1450)</f>
        <v>170500</v>
      </c>
    </row>
    <row r="1451" spans="1:9" hidden="1">
      <c r="A1451" s="334"/>
      <c r="B1451" s="335"/>
      <c r="C1451" s="336"/>
      <c r="D1451" s="336"/>
      <c r="E1451" s="336"/>
      <c r="F1451" s="338"/>
      <c r="G1451" s="338"/>
      <c r="H1451" s="338"/>
      <c r="I1451" s="339"/>
    </row>
    <row r="1452" spans="1:9" hidden="1">
      <c r="A1452" s="334"/>
      <c r="B1452" s="335">
        <v>89</v>
      </c>
      <c r="C1452" s="336" t="s">
        <v>566</v>
      </c>
      <c r="D1452" s="336" t="s">
        <v>31</v>
      </c>
      <c r="E1452" s="336"/>
      <c r="F1452" s="338">
        <f>[2]Hardas!$E$71</f>
        <v>70360</v>
      </c>
      <c r="G1452" s="338"/>
      <c r="H1452" s="338">
        <f t="shared" ref="H1452:H1459" si="23">F1452*B1452</f>
        <v>6262040</v>
      </c>
      <c r="I1452" s="339"/>
    </row>
    <row r="1453" spans="1:9" hidden="1">
      <c r="A1453" s="334"/>
      <c r="B1453" s="335">
        <v>24</v>
      </c>
      <c r="C1453" s="336" t="s">
        <v>453</v>
      </c>
      <c r="D1453" s="336" t="s">
        <v>567</v>
      </c>
      <c r="E1453" s="336"/>
      <c r="F1453" s="338">
        <f>[2]Hardas!$E$117</f>
        <v>42190</v>
      </c>
      <c r="G1453" s="338"/>
      <c r="H1453" s="338">
        <f t="shared" si="23"/>
        <v>1012560</v>
      </c>
      <c r="I1453" s="339"/>
    </row>
    <row r="1454" spans="1:9" hidden="1">
      <c r="A1454" s="334"/>
      <c r="B1454" s="335">
        <v>2.4</v>
      </c>
      <c r="C1454" s="336" t="s">
        <v>453</v>
      </c>
      <c r="D1454" s="336" t="s">
        <v>523</v>
      </c>
      <c r="E1454" s="336"/>
      <c r="F1454" s="338">
        <f>[2]Hardas!$E$152</f>
        <v>465450</v>
      </c>
      <c r="G1454" s="338"/>
      <c r="H1454" s="338">
        <f t="shared" si="23"/>
        <v>1117080</v>
      </c>
      <c r="I1454" s="339"/>
    </row>
    <row r="1455" spans="1:9" hidden="1">
      <c r="A1455" s="334"/>
      <c r="B1455" s="335">
        <v>2</v>
      </c>
      <c r="C1455" s="336" t="s">
        <v>568</v>
      </c>
      <c r="D1455" s="336" t="s">
        <v>513</v>
      </c>
      <c r="E1455" s="336"/>
      <c r="F1455" s="338">
        <f>[2]Hardas!$E$193</f>
        <v>195450</v>
      </c>
      <c r="G1455" s="338"/>
      <c r="H1455" s="338">
        <f t="shared" si="23"/>
        <v>390900</v>
      </c>
      <c r="I1455" s="339"/>
    </row>
    <row r="1456" spans="1:9" hidden="1">
      <c r="A1456" s="334"/>
      <c r="B1456" s="335">
        <v>4</v>
      </c>
      <c r="C1456" s="336" t="s">
        <v>568</v>
      </c>
      <c r="D1456" s="336" t="s">
        <v>517</v>
      </c>
      <c r="E1456" s="336"/>
      <c r="F1456" s="338">
        <f>[2]Hardas!$E$200</f>
        <v>50000</v>
      </c>
      <c r="G1456" s="338"/>
      <c r="H1456" s="338">
        <f t="shared" si="23"/>
        <v>200000</v>
      </c>
      <c r="I1456" s="339"/>
    </row>
    <row r="1457" spans="1:9" hidden="1">
      <c r="A1457" s="334"/>
      <c r="B1457" s="335">
        <v>13</v>
      </c>
      <c r="C1457" s="336" t="s">
        <v>566</v>
      </c>
      <c r="D1457" s="336" t="s">
        <v>37</v>
      </c>
      <c r="E1457" s="336"/>
      <c r="F1457" s="338">
        <f>[2]Hardas!$E$95</f>
        <v>5450</v>
      </c>
      <c r="G1457" s="338"/>
      <c r="H1457" s="338">
        <f t="shared" si="23"/>
        <v>70850</v>
      </c>
      <c r="I1457" s="339"/>
    </row>
    <row r="1458" spans="1:9" hidden="1">
      <c r="A1458" s="334"/>
      <c r="B1458" s="335">
        <v>13</v>
      </c>
      <c r="C1458" s="336" t="s">
        <v>566</v>
      </c>
      <c r="D1458" s="336" t="s">
        <v>44</v>
      </c>
      <c r="E1458" s="336"/>
      <c r="F1458" s="338">
        <f>[2]Hardas!$E$94</f>
        <v>5450</v>
      </c>
      <c r="G1458" s="338"/>
      <c r="H1458" s="338">
        <f t="shared" si="23"/>
        <v>70850</v>
      </c>
      <c r="I1458" s="339"/>
    </row>
    <row r="1459" spans="1:9" hidden="1">
      <c r="A1459" s="334"/>
      <c r="B1459" s="335">
        <v>2.4</v>
      </c>
      <c r="C1459" s="336" t="s">
        <v>453</v>
      </c>
      <c r="D1459" s="336" t="s">
        <v>45</v>
      </c>
      <c r="E1459" s="336"/>
      <c r="F1459" s="338">
        <f>[2]Hardas!$E$82</f>
        <v>25240</v>
      </c>
      <c r="G1459" s="338"/>
      <c r="H1459" s="338">
        <f t="shared" si="23"/>
        <v>60576</v>
      </c>
      <c r="I1459" s="339"/>
    </row>
    <row r="1460" spans="1:9" hidden="1">
      <c r="A1460" s="329"/>
      <c r="B1460" s="330"/>
      <c r="C1460" s="331"/>
      <c r="D1460" s="331"/>
      <c r="E1460" s="331" t="s">
        <v>410</v>
      </c>
      <c r="F1460" s="332"/>
      <c r="G1460" s="332"/>
      <c r="H1460" s="332"/>
      <c r="I1460" s="333">
        <f>SUM(H1452:H1460)</f>
        <v>9184856</v>
      </c>
    </row>
    <row r="1461" spans="1:9" hidden="1">
      <c r="A1461" s="334"/>
      <c r="B1461" s="335"/>
      <c r="C1461" s="336"/>
      <c r="D1461" s="336"/>
      <c r="E1461" s="336"/>
      <c r="F1461" s="338"/>
      <c r="G1461" s="338"/>
      <c r="H1461" s="338"/>
      <c r="I1461" s="339"/>
    </row>
    <row r="1462" spans="1:9" hidden="1">
      <c r="A1462" s="334"/>
      <c r="B1462" s="335">
        <v>1</v>
      </c>
      <c r="C1462" s="336" t="s">
        <v>446</v>
      </c>
      <c r="D1462" s="336" t="s">
        <v>9</v>
      </c>
      <c r="E1462" s="336"/>
      <c r="F1462" s="338">
        <f>I1460*0</f>
        <v>0</v>
      </c>
      <c r="G1462" s="338">
        <f>F1462*B1462</f>
        <v>0</v>
      </c>
      <c r="H1462" s="338"/>
      <c r="I1462" s="339"/>
    </row>
    <row r="1463" spans="1:9" hidden="1">
      <c r="A1463" s="334"/>
      <c r="B1463" s="335"/>
      <c r="C1463" s="336"/>
      <c r="D1463" s="336"/>
      <c r="E1463" s="336"/>
      <c r="F1463" s="338"/>
      <c r="G1463" s="338"/>
      <c r="H1463" s="338"/>
      <c r="I1463" s="339"/>
    </row>
    <row r="1464" spans="1:9" hidden="1">
      <c r="A1464" s="329"/>
      <c r="B1464" s="330"/>
      <c r="C1464" s="331"/>
      <c r="D1464" s="331"/>
      <c r="E1464" s="331" t="s">
        <v>411</v>
      </c>
      <c r="F1464" s="332"/>
      <c r="G1464" s="332"/>
      <c r="H1464" s="332"/>
      <c r="I1464" s="333">
        <f>SUM(G1462:G1464)</f>
        <v>0</v>
      </c>
    </row>
    <row r="1465" spans="1:9" hidden="1">
      <c r="A1465" s="329"/>
      <c r="B1465" s="330"/>
      <c r="C1465" s="331"/>
      <c r="D1465" s="331" t="s">
        <v>412</v>
      </c>
      <c r="E1465" s="331"/>
      <c r="F1465" s="332"/>
      <c r="G1465" s="332"/>
      <c r="H1465" s="332"/>
      <c r="I1465" s="333">
        <f>SUM(I1446:I1464)</f>
        <v>9355356</v>
      </c>
    </row>
    <row r="1466" spans="1:9" hidden="1">
      <c r="A1466" s="329"/>
      <c r="B1466" s="330"/>
      <c r="C1466" s="331"/>
      <c r="D1466" s="331" t="s">
        <v>413</v>
      </c>
      <c r="E1466" s="331"/>
      <c r="F1466" s="332"/>
      <c r="G1466" s="332"/>
      <c r="H1466" s="332"/>
      <c r="I1466" s="333">
        <f>I1465*0.1</f>
        <v>935535.60000000009</v>
      </c>
    </row>
    <row r="1467" spans="1:9" hidden="1">
      <c r="A1467" s="374"/>
      <c r="B1467" s="375"/>
      <c r="C1467" s="362"/>
      <c r="D1467" s="363" t="s">
        <v>414</v>
      </c>
      <c r="E1467" s="362"/>
      <c r="F1467" s="364"/>
      <c r="G1467" s="364"/>
      <c r="H1467" s="364"/>
      <c r="I1467" s="365">
        <f>ROUNDDOWN(I1466+I1465,0)</f>
        <v>10290891</v>
      </c>
    </row>
    <row r="1468" spans="1:9" ht="13.5" hidden="1" thickBot="1">
      <c r="A1468" s="377"/>
      <c r="B1468" s="378"/>
      <c r="C1468" s="368"/>
      <c r="D1468" s="369"/>
      <c r="E1468" s="368"/>
      <c r="F1468" s="370"/>
      <c r="G1468" s="370"/>
      <c r="H1468" s="370"/>
      <c r="I1468" s="371"/>
    </row>
    <row r="1469" spans="1:9" ht="14.25" hidden="1" thickTop="1" thickBot="1">
      <c r="A1469" s="309" t="s">
        <v>0</v>
      </c>
      <c r="B1469" s="380" t="s">
        <v>397</v>
      </c>
      <c r="C1469" s="310" t="s">
        <v>398</v>
      </c>
      <c r="D1469" s="310" t="s">
        <v>1</v>
      </c>
      <c r="E1469" s="311"/>
      <c r="F1469" s="381" t="s">
        <v>399</v>
      </c>
      <c r="G1469" s="381" t="s">
        <v>400</v>
      </c>
      <c r="H1469" s="381" t="s">
        <v>401</v>
      </c>
      <c r="I1469" s="382" t="s">
        <v>402</v>
      </c>
    </row>
    <row r="1470" spans="1:9" ht="13.5" hidden="1" thickTop="1">
      <c r="A1470" s="351">
        <v>75</v>
      </c>
      <c r="B1470" s="352" t="s">
        <v>571</v>
      </c>
      <c r="C1470" s="353"/>
      <c r="D1470" s="353"/>
      <c r="E1470" s="353"/>
      <c r="F1470" s="354"/>
      <c r="G1470" s="354"/>
      <c r="H1470" s="354"/>
      <c r="I1470" s="355"/>
    </row>
    <row r="1471" spans="1:9" hidden="1">
      <c r="A1471" s="334"/>
      <c r="B1471" s="335">
        <v>0.03</v>
      </c>
      <c r="C1471" s="336" t="s">
        <v>511</v>
      </c>
      <c r="D1471" s="336" t="s">
        <v>3</v>
      </c>
      <c r="E1471" s="336"/>
      <c r="F1471" s="337">
        <f>[2]Hardas!$E$10</f>
        <v>100000</v>
      </c>
      <c r="G1471" s="338">
        <f>F1471*B1471</f>
        <v>3000</v>
      </c>
      <c r="H1471" s="338"/>
      <c r="I1471" s="339"/>
    </row>
    <row r="1472" spans="1:9" hidden="1">
      <c r="A1472" s="334"/>
      <c r="B1472" s="335">
        <v>0.1</v>
      </c>
      <c r="C1472" s="336" t="s">
        <v>511</v>
      </c>
      <c r="D1472" s="336" t="s">
        <v>4</v>
      </c>
      <c r="E1472" s="336"/>
      <c r="F1472" s="338">
        <f>[2]Hardas!$E$11</f>
        <v>91000</v>
      </c>
      <c r="G1472" s="338">
        <f>F1472*B1472</f>
        <v>9100</v>
      </c>
      <c r="H1472" s="338"/>
      <c r="I1472" s="339"/>
    </row>
    <row r="1473" spans="1:9" hidden="1">
      <c r="A1473" s="334"/>
      <c r="B1473" s="335">
        <v>1.5</v>
      </c>
      <c r="C1473" s="336" t="s">
        <v>511</v>
      </c>
      <c r="D1473" s="336" t="s">
        <v>5</v>
      </c>
      <c r="E1473" s="336"/>
      <c r="F1473" s="338">
        <f>[2]Hardas!$E$13</f>
        <v>82000</v>
      </c>
      <c r="G1473" s="338">
        <f>F1473*B1473</f>
        <v>123000</v>
      </c>
      <c r="H1473" s="338"/>
      <c r="I1473" s="339"/>
    </row>
    <row r="1474" spans="1:9" hidden="1">
      <c r="A1474" s="334"/>
      <c r="B1474" s="335">
        <v>0.6</v>
      </c>
      <c r="C1474" s="336" t="s">
        <v>511</v>
      </c>
      <c r="D1474" s="336" t="s">
        <v>6</v>
      </c>
      <c r="E1474" s="336"/>
      <c r="F1474" s="338">
        <f>[2]Hardas!$E$21</f>
        <v>59000</v>
      </c>
      <c r="G1474" s="338">
        <f>F1474*B1474</f>
        <v>35400</v>
      </c>
      <c r="H1474" s="338"/>
      <c r="I1474" s="339"/>
    </row>
    <row r="1475" spans="1:9" hidden="1">
      <c r="A1475" s="329"/>
      <c r="B1475" s="330"/>
      <c r="C1475" s="331"/>
      <c r="D1475" s="331"/>
      <c r="E1475" s="331" t="s">
        <v>405</v>
      </c>
      <c r="F1475" s="332"/>
      <c r="G1475" s="332"/>
      <c r="H1475" s="332"/>
      <c r="I1475" s="333">
        <f>SUM(G1471:G1475)</f>
        <v>170500</v>
      </c>
    </row>
    <row r="1476" spans="1:9" hidden="1">
      <c r="A1476" s="334"/>
      <c r="B1476" s="335"/>
      <c r="C1476" s="336"/>
      <c r="D1476" s="336"/>
      <c r="E1476" s="336"/>
      <c r="F1476" s="338"/>
      <c r="G1476" s="338"/>
      <c r="H1476" s="338"/>
      <c r="I1476" s="339"/>
    </row>
    <row r="1477" spans="1:9" hidden="1">
      <c r="A1477" s="334"/>
      <c r="B1477" s="335">
        <v>95</v>
      </c>
      <c r="C1477" s="336" t="s">
        <v>566</v>
      </c>
      <c r="D1477" s="336" t="s">
        <v>31</v>
      </c>
      <c r="E1477" s="336"/>
      <c r="F1477" s="338">
        <f>[2]Hardas!$E$71</f>
        <v>70360</v>
      </c>
      <c r="G1477" s="338"/>
      <c r="H1477" s="338">
        <f t="shared" ref="H1477:H1484" si="24">F1477*B1477</f>
        <v>6684200</v>
      </c>
      <c r="I1477" s="339"/>
    </row>
    <row r="1478" spans="1:9" hidden="1">
      <c r="A1478" s="334"/>
      <c r="B1478" s="335">
        <v>30</v>
      </c>
      <c r="C1478" s="336" t="s">
        <v>453</v>
      </c>
      <c r="D1478" s="336" t="s">
        <v>567</v>
      </c>
      <c r="E1478" s="336"/>
      <c r="F1478" s="338">
        <f>[2]Hardas!$E$117</f>
        <v>42190</v>
      </c>
      <c r="G1478" s="338"/>
      <c r="H1478" s="338">
        <f t="shared" si="24"/>
        <v>1265700</v>
      </c>
      <c r="I1478" s="339"/>
    </row>
    <row r="1479" spans="1:9" hidden="1">
      <c r="A1479" s="334"/>
      <c r="B1479" s="335">
        <v>2</v>
      </c>
      <c r="C1479" s="336" t="s">
        <v>453</v>
      </c>
      <c r="D1479" s="336" t="s">
        <v>523</v>
      </c>
      <c r="E1479" s="336"/>
      <c r="F1479" s="338">
        <f>[2]Hardas!$E$152</f>
        <v>465450</v>
      </c>
      <c r="G1479" s="338"/>
      <c r="H1479" s="338">
        <f t="shared" si="24"/>
        <v>930900</v>
      </c>
      <c r="I1479" s="339"/>
    </row>
    <row r="1480" spans="1:9" hidden="1">
      <c r="A1480" s="334"/>
      <c r="B1480" s="335">
        <v>1</v>
      </c>
      <c r="C1480" s="336" t="s">
        <v>568</v>
      </c>
      <c r="D1480" s="336" t="s">
        <v>513</v>
      </c>
      <c r="E1480" s="336"/>
      <c r="F1480" s="338">
        <f>[2]Hardas!$E$193</f>
        <v>195450</v>
      </c>
      <c r="G1480" s="338"/>
      <c r="H1480" s="338">
        <f t="shared" si="24"/>
        <v>195450</v>
      </c>
      <c r="I1480" s="339"/>
    </row>
    <row r="1481" spans="1:9" hidden="1">
      <c r="A1481" s="334"/>
      <c r="B1481" s="335">
        <v>3</v>
      </c>
      <c r="C1481" s="336" t="s">
        <v>568</v>
      </c>
      <c r="D1481" s="336" t="s">
        <v>517</v>
      </c>
      <c r="E1481" s="336"/>
      <c r="F1481" s="338">
        <f>[2]Hardas!$E$200</f>
        <v>50000</v>
      </c>
      <c r="G1481" s="338"/>
      <c r="H1481" s="338">
        <f t="shared" si="24"/>
        <v>150000</v>
      </c>
      <c r="I1481" s="339"/>
    </row>
    <row r="1482" spans="1:9" hidden="1">
      <c r="A1482" s="334"/>
      <c r="B1482" s="335">
        <v>10</v>
      </c>
      <c r="C1482" s="336" t="s">
        <v>566</v>
      </c>
      <c r="D1482" s="336" t="s">
        <v>37</v>
      </c>
      <c r="E1482" s="336"/>
      <c r="F1482" s="338">
        <f>[2]Hardas!$E$95</f>
        <v>5450</v>
      </c>
      <c r="G1482" s="338"/>
      <c r="H1482" s="338">
        <f t="shared" si="24"/>
        <v>54500</v>
      </c>
      <c r="I1482" s="339"/>
    </row>
    <row r="1483" spans="1:9" hidden="1">
      <c r="A1483" s="334"/>
      <c r="B1483" s="335">
        <v>10</v>
      </c>
      <c r="C1483" s="336" t="s">
        <v>566</v>
      </c>
      <c r="D1483" s="336" t="s">
        <v>44</v>
      </c>
      <c r="E1483" s="336"/>
      <c r="F1483" s="338">
        <f>[2]Hardas!$E$94</f>
        <v>5450</v>
      </c>
      <c r="G1483" s="338"/>
      <c r="H1483" s="338">
        <f t="shared" si="24"/>
        <v>54500</v>
      </c>
      <c r="I1483" s="339"/>
    </row>
    <row r="1484" spans="1:9" hidden="1">
      <c r="A1484" s="334"/>
      <c r="B1484" s="335">
        <v>2</v>
      </c>
      <c r="C1484" s="336" t="s">
        <v>453</v>
      </c>
      <c r="D1484" s="336" t="s">
        <v>45</v>
      </c>
      <c r="E1484" s="336"/>
      <c r="F1484" s="338">
        <f>[2]Hardas!$E$82</f>
        <v>25240</v>
      </c>
      <c r="G1484" s="338"/>
      <c r="H1484" s="338">
        <f t="shared" si="24"/>
        <v>50480</v>
      </c>
      <c r="I1484" s="339"/>
    </row>
    <row r="1485" spans="1:9" hidden="1">
      <c r="A1485" s="329"/>
      <c r="B1485" s="330"/>
      <c r="C1485" s="331"/>
      <c r="D1485" s="331"/>
      <c r="E1485" s="331" t="s">
        <v>410</v>
      </c>
      <c r="F1485" s="332"/>
      <c r="G1485" s="332"/>
      <c r="H1485" s="332"/>
      <c r="I1485" s="333">
        <f>SUM(H1477:H1485)</f>
        <v>9385730</v>
      </c>
    </row>
    <row r="1486" spans="1:9" hidden="1">
      <c r="A1486" s="334"/>
      <c r="B1486" s="335"/>
      <c r="C1486" s="336"/>
      <c r="D1486" s="336"/>
      <c r="E1486" s="336"/>
      <c r="F1486" s="338"/>
      <c r="G1486" s="338"/>
      <c r="H1486" s="338"/>
      <c r="I1486" s="339"/>
    </row>
    <row r="1487" spans="1:9" hidden="1">
      <c r="A1487" s="334"/>
      <c r="B1487" s="335">
        <v>1</v>
      </c>
      <c r="C1487" s="336" t="s">
        <v>446</v>
      </c>
      <c r="D1487" s="336" t="s">
        <v>9</v>
      </c>
      <c r="E1487" s="336"/>
      <c r="F1487" s="338">
        <f>I1485*0</f>
        <v>0</v>
      </c>
      <c r="G1487" s="338">
        <f>F1487*B1487</f>
        <v>0</v>
      </c>
      <c r="H1487" s="338"/>
      <c r="I1487" s="339"/>
    </row>
    <row r="1488" spans="1:9" hidden="1">
      <c r="A1488" s="334"/>
      <c r="B1488" s="335"/>
      <c r="C1488" s="336"/>
      <c r="D1488" s="336"/>
      <c r="E1488" s="336"/>
      <c r="F1488" s="338"/>
      <c r="G1488" s="338"/>
      <c r="H1488" s="338"/>
      <c r="I1488" s="339"/>
    </row>
    <row r="1489" spans="1:9" hidden="1">
      <c r="A1489" s="329"/>
      <c r="B1489" s="330"/>
      <c r="C1489" s="331"/>
      <c r="D1489" s="331"/>
      <c r="E1489" s="331" t="s">
        <v>411</v>
      </c>
      <c r="F1489" s="332"/>
      <c r="G1489" s="332"/>
      <c r="H1489" s="332"/>
      <c r="I1489" s="333">
        <f>SUM(G1487:G1489)</f>
        <v>0</v>
      </c>
    </row>
    <row r="1490" spans="1:9" hidden="1">
      <c r="A1490" s="329"/>
      <c r="B1490" s="330"/>
      <c r="C1490" s="331"/>
      <c r="D1490" s="331" t="s">
        <v>412</v>
      </c>
      <c r="E1490" s="331"/>
      <c r="F1490" s="332"/>
      <c r="G1490" s="332"/>
      <c r="H1490" s="332"/>
      <c r="I1490" s="333">
        <f>SUM(I1471:I1489)</f>
        <v>9556230</v>
      </c>
    </row>
    <row r="1491" spans="1:9" hidden="1">
      <c r="A1491" s="329"/>
      <c r="B1491" s="330"/>
      <c r="C1491" s="331"/>
      <c r="D1491" s="331" t="s">
        <v>413</v>
      </c>
      <c r="E1491" s="331"/>
      <c r="F1491" s="332"/>
      <c r="G1491" s="332"/>
      <c r="H1491" s="332"/>
      <c r="I1491" s="333">
        <f>I1490*0.1</f>
        <v>955623</v>
      </c>
    </row>
    <row r="1492" spans="1:9" hidden="1">
      <c r="A1492" s="374"/>
      <c r="B1492" s="375"/>
      <c r="C1492" s="362"/>
      <c r="D1492" s="363" t="s">
        <v>414</v>
      </c>
      <c r="E1492" s="362"/>
      <c r="F1492" s="364"/>
      <c r="G1492" s="364"/>
      <c r="H1492" s="364"/>
      <c r="I1492" s="365">
        <f>ROUNDDOWN(I1491+I1490,0)</f>
        <v>10511853</v>
      </c>
    </row>
    <row r="1493" spans="1:9" ht="13.5" hidden="1" thickBot="1">
      <c r="A1493" s="377"/>
      <c r="B1493" s="378"/>
      <c r="C1493" s="368"/>
      <c r="D1493" s="369"/>
      <c r="E1493" s="368"/>
      <c r="F1493" s="370"/>
      <c r="G1493" s="370"/>
      <c r="H1493" s="370"/>
      <c r="I1493" s="371"/>
    </row>
    <row r="1494" spans="1:9" ht="14.25" hidden="1" thickTop="1" thickBot="1">
      <c r="A1494" s="309" t="s">
        <v>0</v>
      </c>
      <c r="B1494" s="380" t="s">
        <v>397</v>
      </c>
      <c r="C1494" s="310" t="s">
        <v>398</v>
      </c>
      <c r="D1494" s="310" t="s">
        <v>1</v>
      </c>
      <c r="E1494" s="311"/>
      <c r="F1494" s="381" t="s">
        <v>399</v>
      </c>
      <c r="G1494" s="381" t="s">
        <v>400</v>
      </c>
      <c r="H1494" s="381" t="s">
        <v>401</v>
      </c>
      <c r="I1494" s="382" t="s">
        <v>402</v>
      </c>
    </row>
    <row r="1495" spans="1:9" ht="13.5" hidden="1" thickTop="1">
      <c r="A1495" s="351">
        <v>76</v>
      </c>
      <c r="B1495" s="352" t="s">
        <v>572</v>
      </c>
      <c r="C1495" s="353"/>
      <c r="D1495" s="353"/>
      <c r="E1495" s="353"/>
      <c r="F1495" s="354"/>
      <c r="G1495" s="354"/>
      <c r="H1495" s="354"/>
      <c r="I1495" s="355"/>
    </row>
    <row r="1496" spans="1:9" hidden="1">
      <c r="A1496" s="334"/>
      <c r="B1496" s="335">
        <v>0.03</v>
      </c>
      <c r="C1496" s="336" t="s">
        <v>511</v>
      </c>
      <c r="D1496" s="336" t="s">
        <v>3</v>
      </c>
      <c r="E1496" s="336"/>
      <c r="F1496" s="337">
        <f>[2]Hardas!$E$10</f>
        <v>100000</v>
      </c>
      <c r="G1496" s="338">
        <f>F1496*B1496</f>
        <v>3000</v>
      </c>
      <c r="H1496" s="338"/>
      <c r="I1496" s="339"/>
    </row>
    <row r="1497" spans="1:9" hidden="1">
      <c r="A1497" s="334"/>
      <c r="B1497" s="335">
        <v>0.1</v>
      </c>
      <c r="C1497" s="336" t="s">
        <v>511</v>
      </c>
      <c r="D1497" s="336" t="s">
        <v>4</v>
      </c>
      <c r="E1497" s="336"/>
      <c r="F1497" s="338">
        <f>[2]Hardas!$E$11</f>
        <v>91000</v>
      </c>
      <c r="G1497" s="338">
        <f>F1497*B1497</f>
        <v>9100</v>
      </c>
      <c r="H1497" s="338"/>
      <c r="I1497" s="339"/>
    </row>
    <row r="1498" spans="1:9" hidden="1">
      <c r="A1498" s="334"/>
      <c r="B1498" s="335">
        <v>1.5</v>
      </c>
      <c r="C1498" s="336" t="s">
        <v>511</v>
      </c>
      <c r="D1498" s="336" t="s">
        <v>5</v>
      </c>
      <c r="E1498" s="336"/>
      <c r="F1498" s="338">
        <f>[2]Hardas!$E$13</f>
        <v>82000</v>
      </c>
      <c r="G1498" s="338">
        <f>F1498*B1498</f>
        <v>123000</v>
      </c>
      <c r="H1498" s="338"/>
      <c r="I1498" s="339"/>
    </row>
    <row r="1499" spans="1:9" hidden="1">
      <c r="A1499" s="334"/>
      <c r="B1499" s="335">
        <v>0.6</v>
      </c>
      <c r="C1499" s="336" t="s">
        <v>511</v>
      </c>
      <c r="D1499" s="336" t="s">
        <v>6</v>
      </c>
      <c r="E1499" s="336"/>
      <c r="F1499" s="338">
        <f>[2]Hardas!$E$21</f>
        <v>59000</v>
      </c>
      <c r="G1499" s="338">
        <f>F1499*B1499</f>
        <v>35400</v>
      </c>
      <c r="H1499" s="338"/>
      <c r="I1499" s="339"/>
    </row>
    <row r="1500" spans="1:9" hidden="1">
      <c r="A1500" s="329"/>
      <c r="B1500" s="330"/>
      <c r="C1500" s="331"/>
      <c r="D1500" s="331"/>
      <c r="E1500" s="331" t="s">
        <v>405</v>
      </c>
      <c r="F1500" s="332"/>
      <c r="G1500" s="332"/>
      <c r="H1500" s="332"/>
      <c r="I1500" s="333">
        <f>SUM(G1496:G1500)</f>
        <v>170500</v>
      </c>
    </row>
    <row r="1501" spans="1:9" hidden="1">
      <c r="A1501" s="334"/>
      <c r="B1501" s="335"/>
      <c r="C1501" s="336"/>
      <c r="D1501" s="336"/>
      <c r="E1501" s="336"/>
      <c r="F1501" s="338"/>
      <c r="G1501" s="338"/>
      <c r="H1501" s="338"/>
      <c r="I1501" s="339"/>
    </row>
    <row r="1502" spans="1:9" hidden="1">
      <c r="A1502" s="334"/>
      <c r="B1502" s="335">
        <v>45</v>
      </c>
      <c r="C1502" s="336" t="s">
        <v>566</v>
      </c>
      <c r="D1502" s="336" t="s">
        <v>31</v>
      </c>
      <c r="E1502" s="336"/>
      <c r="F1502" s="338">
        <f>[2]Hardas!$E$71</f>
        <v>70360</v>
      </c>
      <c r="G1502" s="338"/>
      <c r="H1502" s="338">
        <f t="shared" ref="H1502:H1509" si="25">F1502*B1502</f>
        <v>3166200</v>
      </c>
      <c r="I1502" s="339"/>
    </row>
    <row r="1503" spans="1:9" hidden="1">
      <c r="A1503" s="334"/>
      <c r="B1503" s="335">
        <v>13</v>
      </c>
      <c r="C1503" s="336" t="s">
        <v>453</v>
      </c>
      <c r="D1503" s="336" t="s">
        <v>567</v>
      </c>
      <c r="E1503" s="336"/>
      <c r="F1503" s="338">
        <f>[2]Hardas!$E$117</f>
        <v>42190</v>
      </c>
      <c r="G1503" s="338"/>
      <c r="H1503" s="338">
        <f t="shared" si="25"/>
        <v>548470</v>
      </c>
      <c r="I1503" s="339"/>
    </row>
    <row r="1504" spans="1:9" hidden="1">
      <c r="A1504" s="334"/>
      <c r="B1504" s="335">
        <v>3</v>
      </c>
      <c r="C1504" s="336" t="s">
        <v>453</v>
      </c>
      <c r="D1504" s="336" t="s">
        <v>523</v>
      </c>
      <c r="E1504" s="336"/>
      <c r="F1504" s="338">
        <f>[2]Hardas!$E$152</f>
        <v>465450</v>
      </c>
      <c r="G1504" s="338"/>
      <c r="H1504" s="338">
        <f t="shared" si="25"/>
        <v>1396350</v>
      </c>
      <c r="I1504" s="339"/>
    </row>
    <row r="1505" spans="1:9" hidden="1">
      <c r="A1505" s="334"/>
      <c r="B1505" s="335">
        <v>2</v>
      </c>
      <c r="C1505" s="336" t="s">
        <v>568</v>
      </c>
      <c r="D1505" s="336" t="s">
        <v>513</v>
      </c>
      <c r="E1505" s="336"/>
      <c r="F1505" s="338">
        <f>[2]Hardas!$E$193</f>
        <v>195450</v>
      </c>
      <c r="G1505" s="338"/>
      <c r="H1505" s="338">
        <f t="shared" si="25"/>
        <v>390900</v>
      </c>
      <c r="I1505" s="339"/>
    </row>
    <row r="1506" spans="1:9" hidden="1">
      <c r="A1506" s="334"/>
      <c r="B1506" s="335">
        <v>4</v>
      </c>
      <c r="C1506" s="336" t="s">
        <v>568</v>
      </c>
      <c r="D1506" s="336" t="s">
        <v>517</v>
      </c>
      <c r="E1506" s="336"/>
      <c r="F1506" s="338">
        <f>[2]Hardas!$E$200</f>
        <v>50000</v>
      </c>
      <c r="G1506" s="338"/>
      <c r="H1506" s="338">
        <f t="shared" si="25"/>
        <v>200000</v>
      </c>
      <c r="I1506" s="339"/>
    </row>
    <row r="1507" spans="1:9" hidden="1">
      <c r="A1507" s="334"/>
      <c r="B1507" s="335">
        <v>13</v>
      </c>
      <c r="C1507" s="336" t="s">
        <v>566</v>
      </c>
      <c r="D1507" s="336" t="s">
        <v>37</v>
      </c>
      <c r="E1507" s="336"/>
      <c r="F1507" s="338">
        <f>[2]Hardas!$E$95</f>
        <v>5450</v>
      </c>
      <c r="G1507" s="338"/>
      <c r="H1507" s="338">
        <f t="shared" si="25"/>
        <v>70850</v>
      </c>
      <c r="I1507" s="339"/>
    </row>
    <row r="1508" spans="1:9" hidden="1">
      <c r="A1508" s="334"/>
      <c r="B1508" s="335">
        <v>13</v>
      </c>
      <c r="C1508" s="336" t="s">
        <v>566</v>
      </c>
      <c r="D1508" s="336" t="s">
        <v>44</v>
      </c>
      <c r="E1508" s="336"/>
      <c r="F1508" s="338">
        <f>[2]Hardas!$E$94</f>
        <v>5450</v>
      </c>
      <c r="G1508" s="338"/>
      <c r="H1508" s="338">
        <f t="shared" si="25"/>
        <v>70850</v>
      </c>
      <c r="I1508" s="339"/>
    </row>
    <row r="1509" spans="1:9" hidden="1">
      <c r="A1509" s="334"/>
      <c r="B1509" s="335">
        <v>3</v>
      </c>
      <c r="C1509" s="336" t="s">
        <v>453</v>
      </c>
      <c r="D1509" s="336" t="s">
        <v>45</v>
      </c>
      <c r="E1509" s="336"/>
      <c r="F1509" s="338">
        <f>[2]Hardas!$E$82</f>
        <v>25240</v>
      </c>
      <c r="G1509" s="338"/>
      <c r="H1509" s="338">
        <f t="shared" si="25"/>
        <v>75720</v>
      </c>
      <c r="I1509" s="339"/>
    </row>
    <row r="1510" spans="1:9" hidden="1">
      <c r="A1510" s="329"/>
      <c r="B1510" s="330"/>
      <c r="C1510" s="331"/>
      <c r="D1510" s="331"/>
      <c r="E1510" s="331" t="s">
        <v>410</v>
      </c>
      <c r="F1510" s="332"/>
      <c r="G1510" s="332"/>
      <c r="H1510" s="332"/>
      <c r="I1510" s="333">
        <f>SUM(H1502:H1510)</f>
        <v>5919340</v>
      </c>
    </row>
    <row r="1511" spans="1:9" hidden="1">
      <c r="A1511" s="334"/>
      <c r="B1511" s="335"/>
      <c r="C1511" s="336"/>
      <c r="D1511" s="336"/>
      <c r="E1511" s="336"/>
      <c r="F1511" s="338"/>
      <c r="G1511" s="338"/>
      <c r="H1511" s="338"/>
      <c r="I1511" s="339"/>
    </row>
    <row r="1512" spans="1:9" hidden="1">
      <c r="A1512" s="334"/>
      <c r="B1512" s="335">
        <v>1</v>
      </c>
      <c r="C1512" s="336" t="s">
        <v>446</v>
      </c>
      <c r="D1512" s="336" t="s">
        <v>9</v>
      </c>
      <c r="E1512" s="336"/>
      <c r="F1512" s="338">
        <f>I1510*0.05</f>
        <v>295967</v>
      </c>
      <c r="G1512" s="338">
        <f>F1512*B1512</f>
        <v>295967</v>
      </c>
      <c r="H1512" s="338"/>
      <c r="I1512" s="339"/>
    </row>
    <row r="1513" spans="1:9" hidden="1">
      <c r="A1513" s="334"/>
      <c r="B1513" s="335"/>
      <c r="C1513" s="336"/>
      <c r="D1513" s="336"/>
      <c r="E1513" s="336"/>
      <c r="F1513" s="338"/>
      <c r="G1513" s="338"/>
      <c r="H1513" s="338"/>
      <c r="I1513" s="339"/>
    </row>
    <row r="1514" spans="1:9" hidden="1">
      <c r="A1514" s="329"/>
      <c r="B1514" s="330"/>
      <c r="C1514" s="331"/>
      <c r="D1514" s="331"/>
      <c r="E1514" s="331" t="s">
        <v>411</v>
      </c>
      <c r="F1514" s="332"/>
      <c r="G1514" s="332"/>
      <c r="H1514" s="332"/>
      <c r="I1514" s="333">
        <f>SUM(G1512:G1514)</f>
        <v>295967</v>
      </c>
    </row>
    <row r="1515" spans="1:9" hidden="1">
      <c r="A1515" s="329"/>
      <c r="B1515" s="330"/>
      <c r="C1515" s="331"/>
      <c r="D1515" s="331" t="s">
        <v>412</v>
      </c>
      <c r="E1515" s="331"/>
      <c r="F1515" s="332"/>
      <c r="G1515" s="332"/>
      <c r="H1515" s="332"/>
      <c r="I1515" s="333">
        <f>SUM(I1496:I1514)</f>
        <v>6385807</v>
      </c>
    </row>
    <row r="1516" spans="1:9" hidden="1">
      <c r="A1516" s="329"/>
      <c r="B1516" s="330"/>
      <c r="C1516" s="331"/>
      <c r="D1516" s="331" t="s">
        <v>413</v>
      </c>
      <c r="E1516" s="331"/>
      <c r="F1516" s="332"/>
      <c r="G1516" s="332"/>
      <c r="H1516" s="332"/>
      <c r="I1516" s="333">
        <f>I1515*0.1</f>
        <v>638580.70000000007</v>
      </c>
    </row>
    <row r="1517" spans="1:9" hidden="1">
      <c r="A1517" s="374"/>
      <c r="B1517" s="375"/>
      <c r="C1517" s="362"/>
      <c r="D1517" s="363" t="s">
        <v>414</v>
      </c>
      <c r="E1517" s="362"/>
      <c r="F1517" s="364"/>
      <c r="G1517" s="364"/>
      <c r="H1517" s="364"/>
      <c r="I1517" s="365">
        <f>ROUNDDOWN(I1516+I1515,0)</f>
        <v>7024387</v>
      </c>
    </row>
    <row r="1518" spans="1:9" ht="13.5" hidden="1" thickBot="1">
      <c r="A1518" s="377"/>
      <c r="B1518" s="378"/>
      <c r="C1518" s="368"/>
      <c r="D1518" s="369"/>
      <c r="E1518" s="368"/>
      <c r="F1518" s="370"/>
      <c r="G1518" s="370"/>
      <c r="H1518" s="370"/>
      <c r="I1518" s="371"/>
    </row>
    <row r="1519" spans="1:9" ht="14.25" hidden="1" thickTop="1" thickBot="1">
      <c r="A1519" s="309" t="s">
        <v>0</v>
      </c>
      <c r="B1519" s="380" t="s">
        <v>397</v>
      </c>
      <c r="C1519" s="310" t="s">
        <v>398</v>
      </c>
      <c r="D1519" s="310" t="s">
        <v>1</v>
      </c>
      <c r="E1519" s="311"/>
      <c r="F1519" s="381" t="s">
        <v>399</v>
      </c>
      <c r="G1519" s="381" t="s">
        <v>400</v>
      </c>
      <c r="H1519" s="381" t="s">
        <v>401</v>
      </c>
      <c r="I1519" s="382" t="s">
        <v>402</v>
      </c>
    </row>
    <row r="1520" spans="1:9" ht="13.5" hidden="1" thickTop="1">
      <c r="A1520" s="351">
        <v>77</v>
      </c>
      <c r="B1520" s="352" t="s">
        <v>573</v>
      </c>
      <c r="C1520" s="353"/>
      <c r="D1520" s="353"/>
      <c r="E1520" s="353"/>
      <c r="F1520" s="354"/>
      <c r="G1520" s="354"/>
      <c r="H1520" s="354"/>
      <c r="I1520" s="355"/>
    </row>
    <row r="1521" spans="1:9" hidden="1">
      <c r="A1521" s="334"/>
      <c r="B1521" s="391">
        <v>0.03</v>
      </c>
      <c r="C1521" s="336" t="s">
        <v>511</v>
      </c>
      <c r="D1521" s="336" t="s">
        <v>3</v>
      </c>
      <c r="E1521" s="336"/>
      <c r="F1521" s="337">
        <f>[2]Hardas!$E$10</f>
        <v>100000</v>
      </c>
      <c r="G1521" s="338">
        <f>F1521*B1521</f>
        <v>3000</v>
      </c>
      <c r="H1521" s="338"/>
      <c r="I1521" s="339"/>
    </row>
    <row r="1522" spans="1:9" hidden="1">
      <c r="A1522" s="334"/>
      <c r="B1522" s="391">
        <v>0.1</v>
      </c>
      <c r="C1522" s="336" t="s">
        <v>511</v>
      </c>
      <c r="D1522" s="336" t="s">
        <v>4</v>
      </c>
      <c r="E1522" s="336"/>
      <c r="F1522" s="338">
        <f>[2]Hardas!$E$11</f>
        <v>91000</v>
      </c>
      <c r="G1522" s="338">
        <f>F1522*B1522</f>
        <v>9100</v>
      </c>
      <c r="H1522" s="338"/>
      <c r="I1522" s="339"/>
    </row>
    <row r="1523" spans="1:9" hidden="1">
      <c r="A1523" s="334"/>
      <c r="B1523" s="391">
        <v>1.5</v>
      </c>
      <c r="C1523" s="336" t="s">
        <v>511</v>
      </c>
      <c r="D1523" s="336" t="s">
        <v>5</v>
      </c>
      <c r="E1523" s="336"/>
      <c r="F1523" s="338">
        <f>[2]Hardas!$E$13</f>
        <v>82000</v>
      </c>
      <c r="G1523" s="338">
        <f>F1523*B1523</f>
        <v>123000</v>
      </c>
      <c r="H1523" s="338"/>
      <c r="I1523" s="339"/>
    </row>
    <row r="1524" spans="1:9" hidden="1">
      <c r="A1524" s="334"/>
      <c r="B1524" s="391">
        <v>0.6</v>
      </c>
      <c r="C1524" s="336" t="s">
        <v>511</v>
      </c>
      <c r="D1524" s="336" t="s">
        <v>6</v>
      </c>
      <c r="E1524" s="336"/>
      <c r="F1524" s="338">
        <f>[2]Hardas!$E$21</f>
        <v>59000</v>
      </c>
      <c r="G1524" s="338">
        <f>F1524*B1524</f>
        <v>35400</v>
      </c>
      <c r="H1524" s="338"/>
      <c r="I1524" s="339"/>
    </row>
    <row r="1525" spans="1:9" hidden="1">
      <c r="A1525" s="329"/>
      <c r="B1525" s="392"/>
      <c r="C1525" s="331"/>
      <c r="D1525" s="331"/>
      <c r="E1525" s="331" t="s">
        <v>405</v>
      </c>
      <c r="F1525" s="332"/>
      <c r="G1525" s="332"/>
      <c r="H1525" s="332"/>
      <c r="I1525" s="333">
        <f>SUM(G1521:G1525)</f>
        <v>170500</v>
      </c>
    </row>
    <row r="1526" spans="1:9" hidden="1">
      <c r="A1526" s="334"/>
      <c r="B1526" s="391"/>
      <c r="C1526" s="336"/>
      <c r="D1526" s="336"/>
      <c r="E1526" s="336"/>
      <c r="F1526" s="338"/>
      <c r="G1526" s="338"/>
      <c r="H1526" s="338"/>
      <c r="I1526" s="339"/>
    </row>
    <row r="1527" spans="1:9" hidden="1">
      <c r="A1527" s="334"/>
      <c r="B1527" s="391">
        <v>102</v>
      </c>
      <c r="C1527" s="336" t="s">
        <v>566</v>
      </c>
      <c r="D1527" s="336" t="s">
        <v>31</v>
      </c>
      <c r="E1527" s="336"/>
      <c r="F1527" s="338">
        <f>[2]Hardas!$E$71</f>
        <v>70360</v>
      </c>
      <c r="G1527" s="338"/>
      <c r="H1527" s="338">
        <f t="shared" ref="H1527:H1534" si="26">F1527*B1527</f>
        <v>7176720</v>
      </c>
      <c r="I1527" s="339"/>
    </row>
    <row r="1528" spans="1:9" hidden="1">
      <c r="A1528" s="334"/>
      <c r="B1528" s="391">
        <v>61</v>
      </c>
      <c r="C1528" s="336" t="s">
        <v>453</v>
      </c>
      <c r="D1528" s="336" t="s">
        <v>567</v>
      </c>
      <c r="E1528" s="336"/>
      <c r="F1528" s="338">
        <f>[2]Hardas!$E$117</f>
        <v>42190</v>
      </c>
      <c r="G1528" s="338"/>
      <c r="H1528" s="338">
        <f t="shared" si="26"/>
        <v>2573590</v>
      </c>
      <c r="I1528" s="339"/>
    </row>
    <row r="1529" spans="1:9" hidden="1">
      <c r="A1529" s="334"/>
      <c r="B1529" s="391">
        <v>0.6</v>
      </c>
      <c r="C1529" s="336" t="s">
        <v>453</v>
      </c>
      <c r="D1529" s="336" t="s">
        <v>523</v>
      </c>
      <c r="E1529" s="336"/>
      <c r="F1529" s="338">
        <f>[2]Hardas!$E$152</f>
        <v>465450</v>
      </c>
      <c r="G1529" s="338"/>
      <c r="H1529" s="338">
        <f t="shared" si="26"/>
        <v>279270</v>
      </c>
      <c r="I1529" s="339"/>
    </row>
    <row r="1530" spans="1:9" hidden="1">
      <c r="A1530" s="334"/>
      <c r="B1530" s="391">
        <v>1</v>
      </c>
      <c r="C1530" s="336" t="s">
        <v>568</v>
      </c>
      <c r="D1530" s="336" t="s">
        <v>513</v>
      </c>
      <c r="E1530" s="336"/>
      <c r="F1530" s="338">
        <f>[2]Hardas!$E$193</f>
        <v>195450</v>
      </c>
      <c r="G1530" s="338"/>
      <c r="H1530" s="338">
        <f t="shared" si="26"/>
        <v>195450</v>
      </c>
      <c r="I1530" s="339"/>
    </row>
    <row r="1531" spans="1:9" hidden="1">
      <c r="A1531" s="334"/>
      <c r="B1531" s="391">
        <v>2</v>
      </c>
      <c r="C1531" s="336" t="s">
        <v>568</v>
      </c>
      <c r="D1531" s="336" t="s">
        <v>517</v>
      </c>
      <c r="E1531" s="336"/>
      <c r="F1531" s="338">
        <f>[2]Hardas!$E$200</f>
        <v>50000</v>
      </c>
      <c r="G1531" s="338"/>
      <c r="H1531" s="338">
        <f t="shared" si="26"/>
        <v>100000</v>
      </c>
      <c r="I1531" s="339"/>
    </row>
    <row r="1532" spans="1:9" hidden="1">
      <c r="A1532" s="334"/>
      <c r="B1532" s="391">
        <v>3.2</v>
      </c>
      <c r="C1532" s="336" t="s">
        <v>566</v>
      </c>
      <c r="D1532" s="336" t="s">
        <v>37</v>
      </c>
      <c r="E1532" s="336"/>
      <c r="F1532" s="338">
        <f>[2]Hardas!$E$95</f>
        <v>5450</v>
      </c>
      <c r="G1532" s="338"/>
      <c r="H1532" s="338">
        <f t="shared" si="26"/>
        <v>17440</v>
      </c>
      <c r="I1532" s="339"/>
    </row>
    <row r="1533" spans="1:9" hidden="1">
      <c r="A1533" s="334"/>
      <c r="B1533" s="391">
        <v>3.2</v>
      </c>
      <c r="C1533" s="336" t="s">
        <v>566</v>
      </c>
      <c r="D1533" s="336" t="s">
        <v>44</v>
      </c>
      <c r="E1533" s="336"/>
      <c r="F1533" s="338">
        <f>[2]Hardas!$E$94</f>
        <v>5450</v>
      </c>
      <c r="G1533" s="338"/>
      <c r="H1533" s="338">
        <f t="shared" si="26"/>
        <v>17440</v>
      </c>
      <c r="I1533" s="339"/>
    </row>
    <row r="1534" spans="1:9" hidden="1">
      <c r="A1534" s="334"/>
      <c r="B1534" s="391">
        <v>0.6</v>
      </c>
      <c r="C1534" s="336" t="s">
        <v>453</v>
      </c>
      <c r="D1534" s="336" t="s">
        <v>45</v>
      </c>
      <c r="E1534" s="336"/>
      <c r="F1534" s="338">
        <f>[2]Hardas!$E$82</f>
        <v>25240</v>
      </c>
      <c r="G1534" s="338"/>
      <c r="H1534" s="338">
        <f t="shared" si="26"/>
        <v>15144</v>
      </c>
      <c r="I1534" s="339"/>
    </row>
    <row r="1535" spans="1:9" hidden="1">
      <c r="A1535" s="329"/>
      <c r="B1535" s="392"/>
      <c r="C1535" s="331"/>
      <c r="D1535" s="331"/>
      <c r="E1535" s="331" t="s">
        <v>410</v>
      </c>
      <c r="F1535" s="332"/>
      <c r="G1535" s="332"/>
      <c r="H1535" s="332"/>
      <c r="I1535" s="333">
        <f>SUM(H1527:H1535)</f>
        <v>10375054</v>
      </c>
    </row>
    <row r="1536" spans="1:9" hidden="1">
      <c r="A1536" s="334"/>
      <c r="B1536" s="391"/>
      <c r="C1536" s="336"/>
      <c r="D1536" s="336"/>
      <c r="E1536" s="336"/>
      <c r="F1536" s="338"/>
      <c r="G1536" s="338"/>
      <c r="H1536" s="338"/>
      <c r="I1536" s="339"/>
    </row>
    <row r="1537" spans="1:9" hidden="1">
      <c r="A1537" s="334"/>
      <c r="B1537" s="391">
        <v>1</v>
      </c>
      <c r="C1537" s="336" t="s">
        <v>446</v>
      </c>
      <c r="D1537" s="336" t="s">
        <v>9</v>
      </c>
      <c r="E1537" s="336"/>
      <c r="F1537" s="338">
        <f>I1535*0</f>
        <v>0</v>
      </c>
      <c r="G1537" s="338">
        <f>F1537*B1537</f>
        <v>0</v>
      </c>
      <c r="H1537" s="338"/>
      <c r="I1537" s="339"/>
    </row>
    <row r="1538" spans="1:9" hidden="1">
      <c r="A1538" s="334"/>
      <c r="B1538" s="335"/>
      <c r="C1538" s="336"/>
      <c r="D1538" s="336"/>
      <c r="E1538" s="336"/>
      <c r="F1538" s="338"/>
      <c r="G1538" s="338"/>
      <c r="H1538" s="338"/>
      <c r="I1538" s="339"/>
    </row>
    <row r="1539" spans="1:9" hidden="1">
      <c r="A1539" s="329"/>
      <c r="B1539" s="330"/>
      <c r="C1539" s="331"/>
      <c r="D1539" s="331"/>
      <c r="E1539" s="331" t="s">
        <v>411</v>
      </c>
      <c r="F1539" s="332"/>
      <c r="G1539" s="332"/>
      <c r="H1539" s="332"/>
      <c r="I1539" s="333">
        <f>SUM(G1537:G1539)</f>
        <v>0</v>
      </c>
    </row>
    <row r="1540" spans="1:9" hidden="1">
      <c r="A1540" s="329"/>
      <c r="B1540" s="330"/>
      <c r="C1540" s="331"/>
      <c r="D1540" s="331" t="s">
        <v>412</v>
      </c>
      <c r="E1540" s="331"/>
      <c r="F1540" s="332"/>
      <c r="G1540" s="332"/>
      <c r="H1540" s="332"/>
      <c r="I1540" s="333">
        <f>SUM(I1521:I1539)</f>
        <v>10545554</v>
      </c>
    </row>
    <row r="1541" spans="1:9" hidden="1">
      <c r="A1541" s="329"/>
      <c r="B1541" s="330"/>
      <c r="C1541" s="331"/>
      <c r="D1541" s="331" t="s">
        <v>413</v>
      </c>
      <c r="E1541" s="331"/>
      <c r="F1541" s="332"/>
      <c r="G1541" s="332"/>
      <c r="H1541" s="332"/>
      <c r="I1541" s="333">
        <f>I1540*0.1</f>
        <v>1054555.4000000001</v>
      </c>
    </row>
    <row r="1542" spans="1:9" hidden="1">
      <c r="A1542" s="374"/>
      <c r="B1542" s="375"/>
      <c r="C1542" s="362"/>
      <c r="D1542" s="363" t="s">
        <v>414</v>
      </c>
      <c r="E1542" s="362"/>
      <c r="F1542" s="364"/>
      <c r="G1542" s="364"/>
      <c r="H1542" s="364"/>
      <c r="I1542" s="365">
        <f>ROUNDDOWN(I1541+I1540,0)</f>
        <v>11600109</v>
      </c>
    </row>
    <row r="1543" spans="1:9" ht="13.5" hidden="1" thickBot="1">
      <c r="A1543" s="377"/>
      <c r="B1543" s="378"/>
      <c r="C1543" s="368"/>
      <c r="D1543" s="369"/>
      <c r="E1543" s="368"/>
      <c r="F1543" s="370"/>
      <c r="G1543" s="370"/>
      <c r="H1543" s="370"/>
      <c r="I1543" s="371"/>
    </row>
    <row r="1544" spans="1:9" ht="14.25" hidden="1" thickTop="1" thickBot="1">
      <c r="A1544" s="309" t="s">
        <v>0</v>
      </c>
      <c r="B1544" s="380" t="s">
        <v>397</v>
      </c>
      <c r="C1544" s="310" t="s">
        <v>398</v>
      </c>
      <c r="D1544" s="310" t="s">
        <v>1</v>
      </c>
      <c r="E1544" s="311"/>
      <c r="F1544" s="381" t="s">
        <v>399</v>
      </c>
      <c r="G1544" s="381" t="s">
        <v>400</v>
      </c>
      <c r="H1544" s="381" t="s">
        <v>401</v>
      </c>
      <c r="I1544" s="382" t="s">
        <v>402</v>
      </c>
    </row>
    <row r="1545" spans="1:9" ht="13.5" hidden="1" thickTop="1">
      <c r="A1545" s="351">
        <v>78</v>
      </c>
      <c r="B1545" s="352" t="s">
        <v>574</v>
      </c>
      <c r="C1545" s="353"/>
      <c r="D1545" s="353"/>
      <c r="E1545" s="353"/>
      <c r="F1545" s="354"/>
      <c r="G1545" s="354"/>
      <c r="H1545" s="354"/>
      <c r="I1545" s="355"/>
    </row>
    <row r="1546" spans="1:9" hidden="1">
      <c r="A1546" s="334"/>
      <c r="B1546" s="335">
        <v>0.03</v>
      </c>
      <c r="C1546" s="336" t="s">
        <v>511</v>
      </c>
      <c r="D1546" s="336" t="s">
        <v>3</v>
      </c>
      <c r="E1546" s="336"/>
      <c r="F1546" s="337">
        <f>[2]Hardas!$E$10</f>
        <v>100000</v>
      </c>
      <c r="G1546" s="338">
        <f>F1546*B1546</f>
        <v>3000</v>
      </c>
      <c r="H1546" s="338"/>
      <c r="I1546" s="339"/>
    </row>
    <row r="1547" spans="1:9" hidden="1">
      <c r="A1547" s="334"/>
      <c r="B1547" s="335">
        <v>0.1</v>
      </c>
      <c r="C1547" s="336" t="s">
        <v>511</v>
      </c>
      <c r="D1547" s="336" t="s">
        <v>4</v>
      </c>
      <c r="E1547" s="336"/>
      <c r="F1547" s="338">
        <f>[2]Hardas!$E$11</f>
        <v>91000</v>
      </c>
      <c r="G1547" s="338">
        <f>F1547*B1547</f>
        <v>9100</v>
      </c>
      <c r="H1547" s="338"/>
      <c r="I1547" s="339"/>
    </row>
    <row r="1548" spans="1:9" hidden="1">
      <c r="A1548" s="334"/>
      <c r="B1548" s="335">
        <v>1.5</v>
      </c>
      <c r="C1548" s="336" t="s">
        <v>511</v>
      </c>
      <c r="D1548" s="336" t="s">
        <v>5</v>
      </c>
      <c r="E1548" s="336"/>
      <c r="F1548" s="338">
        <f>[2]Hardas!$E$13</f>
        <v>82000</v>
      </c>
      <c r="G1548" s="338">
        <f>F1548*B1548</f>
        <v>123000</v>
      </c>
      <c r="H1548" s="338"/>
      <c r="I1548" s="339"/>
    </row>
    <row r="1549" spans="1:9" hidden="1">
      <c r="A1549" s="334"/>
      <c r="B1549" s="335">
        <v>0.6</v>
      </c>
      <c r="C1549" s="336" t="s">
        <v>511</v>
      </c>
      <c r="D1549" s="336" t="s">
        <v>6</v>
      </c>
      <c r="E1549" s="336"/>
      <c r="F1549" s="338">
        <f>[2]Hardas!$E$21</f>
        <v>59000</v>
      </c>
      <c r="G1549" s="338">
        <f>F1549*B1549</f>
        <v>35400</v>
      </c>
      <c r="H1549" s="338"/>
      <c r="I1549" s="339"/>
    </row>
    <row r="1550" spans="1:9" hidden="1">
      <c r="A1550" s="329"/>
      <c r="B1550" s="330"/>
      <c r="C1550" s="331"/>
      <c r="D1550" s="331"/>
      <c r="E1550" s="331" t="s">
        <v>405</v>
      </c>
      <c r="F1550" s="332"/>
      <c r="G1550" s="332"/>
      <c r="H1550" s="332"/>
      <c r="I1550" s="333">
        <f>SUM(G1546:G1550)</f>
        <v>170500</v>
      </c>
    </row>
    <row r="1551" spans="1:9" hidden="1">
      <c r="A1551" s="334"/>
      <c r="B1551" s="335"/>
      <c r="C1551" s="336"/>
      <c r="D1551" s="336"/>
      <c r="E1551" s="336"/>
      <c r="F1551" s="338"/>
      <c r="G1551" s="338"/>
      <c r="H1551" s="338"/>
      <c r="I1551" s="339"/>
    </row>
    <row r="1552" spans="1:9" hidden="1">
      <c r="A1552" s="334"/>
      <c r="B1552" s="335">
        <v>44</v>
      </c>
      <c r="C1552" s="336" t="s">
        <v>566</v>
      </c>
      <c r="D1552" s="336" t="s">
        <v>31</v>
      </c>
      <c r="E1552" s="336"/>
      <c r="F1552" s="338">
        <f>[2]Hardas!$E$71</f>
        <v>70360</v>
      </c>
      <c r="G1552" s="338"/>
      <c r="H1552" s="338">
        <f t="shared" ref="H1552:H1559" si="27">F1552*B1552</f>
        <v>3095840</v>
      </c>
      <c r="I1552" s="339"/>
    </row>
    <row r="1553" spans="1:9" hidden="1">
      <c r="A1553" s="334"/>
      <c r="B1553" s="335">
        <v>26</v>
      </c>
      <c r="C1553" s="336" t="s">
        <v>453</v>
      </c>
      <c r="D1553" s="336" t="s">
        <v>567</v>
      </c>
      <c r="E1553" s="336"/>
      <c r="F1553" s="338">
        <f>[2]Hardas!$E$117</f>
        <v>42190</v>
      </c>
      <c r="G1553" s="338"/>
      <c r="H1553" s="338">
        <f t="shared" si="27"/>
        <v>1096940</v>
      </c>
      <c r="I1553" s="339"/>
    </row>
    <row r="1554" spans="1:9" hidden="1">
      <c r="A1554" s="334"/>
      <c r="B1554" s="335">
        <v>6</v>
      </c>
      <c r="C1554" s="336" t="s">
        <v>453</v>
      </c>
      <c r="D1554" s="336" t="s">
        <v>523</v>
      </c>
      <c r="E1554" s="336"/>
      <c r="F1554" s="338">
        <f>[2]Hardas!$E$152</f>
        <v>465450</v>
      </c>
      <c r="G1554" s="338"/>
      <c r="H1554" s="338">
        <f t="shared" si="27"/>
        <v>2792700</v>
      </c>
      <c r="I1554" s="339"/>
    </row>
    <row r="1555" spans="1:9" hidden="1">
      <c r="A1555" s="334"/>
      <c r="B1555" s="335">
        <v>4</v>
      </c>
      <c r="C1555" s="336" t="s">
        <v>568</v>
      </c>
      <c r="D1555" s="336" t="s">
        <v>513</v>
      </c>
      <c r="E1555" s="336"/>
      <c r="F1555" s="338">
        <f>[2]Hardas!$E$193</f>
        <v>195450</v>
      </c>
      <c r="G1555" s="338"/>
      <c r="H1555" s="338">
        <f t="shared" si="27"/>
        <v>781800</v>
      </c>
      <c r="I1555" s="339"/>
    </row>
    <row r="1556" spans="1:9" hidden="1">
      <c r="A1556" s="334"/>
      <c r="B1556" s="335">
        <v>8</v>
      </c>
      <c r="C1556" s="336" t="s">
        <v>568</v>
      </c>
      <c r="D1556" s="336" t="s">
        <v>517</v>
      </c>
      <c r="E1556" s="336"/>
      <c r="F1556" s="338">
        <f>[2]Hardas!$E$200</f>
        <v>50000</v>
      </c>
      <c r="G1556" s="338"/>
      <c r="H1556" s="338">
        <f t="shared" si="27"/>
        <v>400000</v>
      </c>
      <c r="I1556" s="339"/>
    </row>
    <row r="1557" spans="1:9" hidden="1">
      <c r="A1557" s="334"/>
      <c r="B1557" s="335">
        <v>29</v>
      </c>
      <c r="C1557" s="336" t="s">
        <v>566</v>
      </c>
      <c r="D1557" s="336" t="s">
        <v>37</v>
      </c>
      <c r="E1557" s="336"/>
      <c r="F1557" s="338">
        <f>[2]Hardas!$E$95</f>
        <v>5450</v>
      </c>
      <c r="G1557" s="338"/>
      <c r="H1557" s="338">
        <f t="shared" si="27"/>
        <v>158050</v>
      </c>
      <c r="I1557" s="339"/>
    </row>
    <row r="1558" spans="1:9" hidden="1">
      <c r="A1558" s="334"/>
      <c r="B1558" s="335">
        <v>29</v>
      </c>
      <c r="C1558" s="336" t="s">
        <v>566</v>
      </c>
      <c r="D1558" s="336" t="s">
        <v>44</v>
      </c>
      <c r="E1558" s="336"/>
      <c r="F1558" s="338">
        <f>[2]Hardas!$E$94</f>
        <v>5450</v>
      </c>
      <c r="G1558" s="338"/>
      <c r="H1558" s="338">
        <f t="shared" si="27"/>
        <v>158050</v>
      </c>
      <c r="I1558" s="339"/>
    </row>
    <row r="1559" spans="1:9" hidden="1">
      <c r="A1559" s="334"/>
      <c r="B1559" s="335">
        <v>6</v>
      </c>
      <c r="C1559" s="336" t="s">
        <v>453</v>
      </c>
      <c r="D1559" s="336" t="s">
        <v>45</v>
      </c>
      <c r="E1559" s="336"/>
      <c r="F1559" s="338">
        <f>[2]Hardas!$E$82</f>
        <v>25240</v>
      </c>
      <c r="G1559" s="338"/>
      <c r="H1559" s="338">
        <f t="shared" si="27"/>
        <v>151440</v>
      </c>
      <c r="I1559" s="339"/>
    </row>
    <row r="1560" spans="1:9" hidden="1">
      <c r="A1560" s="329"/>
      <c r="B1560" s="330"/>
      <c r="C1560" s="331"/>
      <c r="D1560" s="331"/>
      <c r="E1560" s="331" t="s">
        <v>410</v>
      </c>
      <c r="F1560" s="332"/>
      <c r="G1560" s="332"/>
      <c r="H1560" s="332"/>
      <c r="I1560" s="333">
        <f>SUM(H1552:H1560)</f>
        <v>8634820</v>
      </c>
    </row>
    <row r="1561" spans="1:9" hidden="1">
      <c r="A1561" s="334"/>
      <c r="B1561" s="335"/>
      <c r="C1561" s="336"/>
      <c r="D1561" s="336"/>
      <c r="E1561" s="336"/>
      <c r="F1561" s="338"/>
      <c r="G1561" s="338"/>
      <c r="H1561" s="338"/>
      <c r="I1561" s="339"/>
    </row>
    <row r="1562" spans="1:9" hidden="1">
      <c r="A1562" s="334"/>
      <c r="B1562" s="335">
        <v>1</v>
      </c>
      <c r="C1562" s="336" t="s">
        <v>446</v>
      </c>
      <c r="D1562" s="336" t="s">
        <v>9</v>
      </c>
      <c r="E1562" s="336"/>
      <c r="F1562" s="338">
        <f>I1560*0.05</f>
        <v>431741</v>
      </c>
      <c r="G1562" s="338">
        <f>F1562*B1562</f>
        <v>431741</v>
      </c>
      <c r="H1562" s="338"/>
      <c r="I1562" s="339"/>
    </row>
    <row r="1563" spans="1:9" hidden="1">
      <c r="A1563" s="334"/>
      <c r="B1563" s="335"/>
      <c r="C1563" s="336"/>
      <c r="D1563" s="336"/>
      <c r="E1563" s="336"/>
      <c r="F1563" s="338"/>
      <c r="G1563" s="338"/>
      <c r="H1563" s="338"/>
      <c r="I1563" s="339"/>
    </row>
    <row r="1564" spans="1:9" hidden="1">
      <c r="A1564" s="329"/>
      <c r="B1564" s="330"/>
      <c r="C1564" s="331"/>
      <c r="D1564" s="331"/>
      <c r="E1564" s="331" t="s">
        <v>411</v>
      </c>
      <c r="F1564" s="332"/>
      <c r="G1564" s="332"/>
      <c r="H1564" s="332"/>
      <c r="I1564" s="333">
        <f>SUM(G1562:G1564)</f>
        <v>431741</v>
      </c>
    </row>
    <row r="1565" spans="1:9" hidden="1">
      <c r="A1565" s="329"/>
      <c r="B1565" s="330"/>
      <c r="C1565" s="331"/>
      <c r="D1565" s="331" t="s">
        <v>412</v>
      </c>
      <c r="E1565" s="331"/>
      <c r="F1565" s="332"/>
      <c r="G1565" s="332"/>
      <c r="H1565" s="332"/>
      <c r="I1565" s="333">
        <f>SUM(I1546:I1564)</f>
        <v>9237061</v>
      </c>
    </row>
    <row r="1566" spans="1:9" hidden="1">
      <c r="A1566" s="329"/>
      <c r="B1566" s="330"/>
      <c r="C1566" s="331"/>
      <c r="D1566" s="331" t="s">
        <v>413</v>
      </c>
      <c r="E1566" s="331"/>
      <c r="F1566" s="332"/>
      <c r="G1566" s="332"/>
      <c r="H1566" s="332"/>
      <c r="I1566" s="333">
        <f>I1565*0.1</f>
        <v>923706.10000000009</v>
      </c>
    </row>
    <row r="1567" spans="1:9" hidden="1">
      <c r="A1567" s="374"/>
      <c r="B1567" s="375"/>
      <c r="C1567" s="362"/>
      <c r="D1567" s="363" t="s">
        <v>414</v>
      </c>
      <c r="E1567" s="362"/>
      <c r="F1567" s="364"/>
      <c r="G1567" s="364"/>
      <c r="H1567" s="364"/>
      <c r="I1567" s="365">
        <f>ROUNDDOWN(I1566+I1565,0)</f>
        <v>10160767</v>
      </c>
    </row>
    <row r="1568" spans="1:9" ht="13.5" hidden="1" thickBot="1">
      <c r="A1568" s="377"/>
      <c r="B1568" s="378"/>
      <c r="C1568" s="368"/>
      <c r="D1568" s="369"/>
      <c r="E1568" s="368"/>
      <c r="F1568" s="370"/>
      <c r="G1568" s="370"/>
      <c r="H1568" s="370"/>
      <c r="I1568" s="371"/>
    </row>
    <row r="1569" spans="1:9" ht="14.25" hidden="1" thickTop="1" thickBot="1">
      <c r="A1569" s="309" t="s">
        <v>0</v>
      </c>
      <c r="B1569" s="380" t="s">
        <v>397</v>
      </c>
      <c r="C1569" s="310" t="s">
        <v>398</v>
      </c>
      <c r="D1569" s="310" t="s">
        <v>1</v>
      </c>
      <c r="E1569" s="311"/>
      <c r="F1569" s="381" t="s">
        <v>399</v>
      </c>
      <c r="G1569" s="381" t="s">
        <v>400</v>
      </c>
      <c r="H1569" s="381" t="s">
        <v>401</v>
      </c>
      <c r="I1569" s="382" t="s">
        <v>402</v>
      </c>
    </row>
    <row r="1570" spans="1:9" ht="13.5" hidden="1" thickTop="1">
      <c r="A1570" s="351">
        <v>79</v>
      </c>
      <c r="B1570" s="352" t="s">
        <v>575</v>
      </c>
      <c r="C1570" s="353"/>
      <c r="D1570" s="353"/>
      <c r="E1570" s="353"/>
      <c r="F1570" s="354"/>
      <c r="G1570" s="354"/>
      <c r="H1570" s="354"/>
      <c r="I1570" s="355"/>
    </row>
    <row r="1571" spans="1:9" hidden="1">
      <c r="A1571" s="334"/>
      <c r="B1571" s="335">
        <v>0.03</v>
      </c>
      <c r="C1571" s="336" t="s">
        <v>511</v>
      </c>
      <c r="D1571" s="336" t="s">
        <v>3</v>
      </c>
      <c r="E1571" s="336"/>
      <c r="F1571" s="337">
        <f>[2]Hardas!$E$10</f>
        <v>100000</v>
      </c>
      <c r="G1571" s="338">
        <f>F1571*B1571</f>
        <v>3000</v>
      </c>
      <c r="H1571" s="338"/>
      <c r="I1571" s="339"/>
    </row>
    <row r="1572" spans="1:9" hidden="1">
      <c r="A1572" s="334"/>
      <c r="B1572" s="335">
        <v>0.1</v>
      </c>
      <c r="C1572" s="336" t="s">
        <v>511</v>
      </c>
      <c r="D1572" s="336" t="s">
        <v>4</v>
      </c>
      <c r="E1572" s="336"/>
      <c r="F1572" s="338">
        <f>[2]Hardas!$E$11</f>
        <v>91000</v>
      </c>
      <c r="G1572" s="338">
        <f>F1572*B1572</f>
        <v>9100</v>
      </c>
      <c r="H1572" s="338"/>
      <c r="I1572" s="339"/>
    </row>
    <row r="1573" spans="1:9" hidden="1">
      <c r="A1573" s="334"/>
      <c r="B1573" s="335">
        <v>1.5</v>
      </c>
      <c r="C1573" s="336" t="s">
        <v>511</v>
      </c>
      <c r="D1573" s="336" t="s">
        <v>5</v>
      </c>
      <c r="E1573" s="336"/>
      <c r="F1573" s="338">
        <f>[2]Hardas!$E$13</f>
        <v>82000</v>
      </c>
      <c r="G1573" s="338">
        <f>F1573*B1573</f>
        <v>123000</v>
      </c>
      <c r="H1573" s="338"/>
      <c r="I1573" s="339"/>
    </row>
    <row r="1574" spans="1:9" hidden="1">
      <c r="A1574" s="334"/>
      <c r="B1574" s="335">
        <v>0.6</v>
      </c>
      <c r="C1574" s="336" t="s">
        <v>511</v>
      </c>
      <c r="D1574" s="336" t="s">
        <v>6</v>
      </c>
      <c r="E1574" s="336"/>
      <c r="F1574" s="338">
        <f>[2]Hardas!$E$21</f>
        <v>59000</v>
      </c>
      <c r="G1574" s="338">
        <f>F1574*B1574</f>
        <v>35400</v>
      </c>
      <c r="H1574" s="338"/>
      <c r="I1574" s="339"/>
    </row>
    <row r="1575" spans="1:9" hidden="1">
      <c r="A1575" s="329"/>
      <c r="B1575" s="330"/>
      <c r="C1575" s="331"/>
      <c r="D1575" s="331"/>
      <c r="E1575" s="331" t="s">
        <v>405</v>
      </c>
      <c r="F1575" s="332"/>
      <c r="G1575" s="332"/>
      <c r="H1575" s="332"/>
      <c r="I1575" s="333">
        <f>SUM(G1571:G1575)</f>
        <v>170500</v>
      </c>
    </row>
    <row r="1576" spans="1:9" hidden="1">
      <c r="A1576" s="334"/>
      <c r="B1576" s="335"/>
      <c r="C1576" s="336"/>
      <c r="D1576" s="336"/>
      <c r="E1576" s="336"/>
      <c r="F1576" s="338"/>
      <c r="G1576" s="338"/>
      <c r="H1576" s="338"/>
      <c r="I1576" s="339"/>
    </row>
    <row r="1577" spans="1:9" hidden="1">
      <c r="A1577" s="334"/>
      <c r="B1577" s="335">
        <v>18</v>
      </c>
      <c r="C1577" s="336" t="s">
        <v>566</v>
      </c>
      <c r="D1577" s="336" t="s">
        <v>31</v>
      </c>
      <c r="E1577" s="336"/>
      <c r="F1577" s="338">
        <f>[2]Hardas!$E$71</f>
        <v>70360</v>
      </c>
      <c r="G1577" s="338"/>
      <c r="H1577" s="338">
        <f t="shared" ref="H1577:H1584" si="28">F1577*B1577</f>
        <v>1266480</v>
      </c>
      <c r="I1577" s="339"/>
    </row>
    <row r="1578" spans="1:9" hidden="1">
      <c r="A1578" s="334"/>
      <c r="B1578" s="335">
        <v>11</v>
      </c>
      <c r="C1578" s="336" t="s">
        <v>453</v>
      </c>
      <c r="D1578" s="336" t="s">
        <v>567</v>
      </c>
      <c r="E1578" s="336"/>
      <c r="F1578" s="338">
        <f>[2]Hardas!$E$117</f>
        <v>42190</v>
      </c>
      <c r="G1578" s="338"/>
      <c r="H1578" s="338">
        <f t="shared" si="28"/>
        <v>464090</v>
      </c>
      <c r="I1578" s="339"/>
    </row>
    <row r="1579" spans="1:9" hidden="1">
      <c r="A1579" s="334"/>
      <c r="B1579" s="335">
        <v>4.2</v>
      </c>
      <c r="C1579" s="336" t="s">
        <v>453</v>
      </c>
      <c r="D1579" s="336" t="s">
        <v>523</v>
      </c>
      <c r="E1579" s="336"/>
      <c r="F1579" s="338">
        <f>[2]Hardas!$E$152</f>
        <v>465450</v>
      </c>
      <c r="G1579" s="338"/>
      <c r="H1579" s="338">
        <f t="shared" si="28"/>
        <v>1954890</v>
      </c>
      <c r="I1579" s="339"/>
    </row>
    <row r="1580" spans="1:9" hidden="1">
      <c r="A1580" s="334"/>
      <c r="B1580" s="335">
        <v>2</v>
      </c>
      <c r="C1580" s="336" t="s">
        <v>568</v>
      </c>
      <c r="D1580" s="336" t="s">
        <v>513</v>
      </c>
      <c r="E1580" s="336"/>
      <c r="F1580" s="338">
        <f>[2]Hardas!$E$193</f>
        <v>195450</v>
      </c>
      <c r="G1580" s="338"/>
      <c r="H1580" s="338">
        <f t="shared" si="28"/>
        <v>390900</v>
      </c>
      <c r="I1580" s="339"/>
    </row>
    <row r="1581" spans="1:9" hidden="1">
      <c r="A1581" s="334"/>
      <c r="B1581" s="335">
        <v>4</v>
      </c>
      <c r="C1581" s="336" t="s">
        <v>568</v>
      </c>
      <c r="D1581" s="336" t="s">
        <v>517</v>
      </c>
      <c r="E1581" s="336"/>
      <c r="F1581" s="338">
        <f>[2]Hardas!$E$200</f>
        <v>50000</v>
      </c>
      <c r="G1581" s="338"/>
      <c r="H1581" s="338">
        <f t="shared" si="28"/>
        <v>200000</v>
      </c>
      <c r="I1581" s="339"/>
    </row>
    <row r="1582" spans="1:9" hidden="1">
      <c r="A1582" s="334"/>
      <c r="B1582" s="335">
        <v>11.2</v>
      </c>
      <c r="C1582" s="336" t="s">
        <v>566</v>
      </c>
      <c r="D1582" s="336" t="s">
        <v>37</v>
      </c>
      <c r="E1582" s="336"/>
      <c r="F1582" s="338">
        <f>[2]Hardas!$E$95</f>
        <v>5450</v>
      </c>
      <c r="G1582" s="338"/>
      <c r="H1582" s="338">
        <f t="shared" si="28"/>
        <v>61039.999999999993</v>
      </c>
      <c r="I1582" s="339"/>
    </row>
    <row r="1583" spans="1:9" hidden="1">
      <c r="A1583" s="334"/>
      <c r="B1583" s="335">
        <v>11.2</v>
      </c>
      <c r="C1583" s="336" t="s">
        <v>566</v>
      </c>
      <c r="D1583" s="336" t="s">
        <v>44</v>
      </c>
      <c r="E1583" s="336"/>
      <c r="F1583" s="338">
        <f>[2]Hardas!$E$94</f>
        <v>5450</v>
      </c>
      <c r="G1583" s="338"/>
      <c r="H1583" s="338">
        <f t="shared" si="28"/>
        <v>61039.999999999993</v>
      </c>
      <c r="I1583" s="339"/>
    </row>
    <row r="1584" spans="1:9" hidden="1">
      <c r="A1584" s="334"/>
      <c r="B1584" s="335">
        <v>4.2</v>
      </c>
      <c r="C1584" s="336" t="s">
        <v>453</v>
      </c>
      <c r="D1584" s="336" t="s">
        <v>45</v>
      </c>
      <c r="E1584" s="336"/>
      <c r="F1584" s="338">
        <f>[2]Hardas!$E$82</f>
        <v>25240</v>
      </c>
      <c r="G1584" s="338"/>
      <c r="H1584" s="338">
        <f t="shared" si="28"/>
        <v>106008</v>
      </c>
      <c r="I1584" s="339"/>
    </row>
    <row r="1585" spans="1:9" hidden="1">
      <c r="A1585" s="329"/>
      <c r="B1585" s="330"/>
      <c r="C1585" s="331"/>
      <c r="D1585" s="331"/>
      <c r="E1585" s="331" t="s">
        <v>410</v>
      </c>
      <c r="F1585" s="332"/>
      <c r="G1585" s="332"/>
      <c r="H1585" s="332"/>
      <c r="I1585" s="333">
        <f>SUM(H1577:H1585)</f>
        <v>4504448</v>
      </c>
    </row>
    <row r="1586" spans="1:9" hidden="1">
      <c r="A1586" s="334"/>
      <c r="B1586" s="335"/>
      <c r="C1586" s="336"/>
      <c r="D1586" s="336"/>
      <c r="E1586" s="336"/>
      <c r="F1586" s="338"/>
      <c r="G1586" s="338"/>
      <c r="H1586" s="338"/>
      <c r="I1586" s="339"/>
    </row>
    <row r="1587" spans="1:9" hidden="1">
      <c r="A1587" s="334"/>
      <c r="B1587" s="335">
        <v>1</v>
      </c>
      <c r="C1587" s="336" t="s">
        <v>446</v>
      </c>
      <c r="D1587" s="336" t="s">
        <v>9</v>
      </c>
      <c r="E1587" s="336"/>
      <c r="F1587" s="338">
        <f>I1585*0.05</f>
        <v>225222.40000000002</v>
      </c>
      <c r="G1587" s="338">
        <f>F1587*B1587</f>
        <v>225222.40000000002</v>
      </c>
      <c r="H1587" s="338"/>
      <c r="I1587" s="339"/>
    </row>
    <row r="1588" spans="1:9" hidden="1">
      <c r="A1588" s="334"/>
      <c r="B1588" s="335"/>
      <c r="C1588" s="336"/>
      <c r="D1588" s="336"/>
      <c r="E1588" s="336"/>
      <c r="F1588" s="338"/>
      <c r="G1588" s="338"/>
      <c r="H1588" s="338"/>
      <c r="I1588" s="339"/>
    </row>
    <row r="1589" spans="1:9" hidden="1">
      <c r="A1589" s="329"/>
      <c r="B1589" s="330"/>
      <c r="C1589" s="331"/>
      <c r="D1589" s="331"/>
      <c r="E1589" s="331" t="s">
        <v>411</v>
      </c>
      <c r="F1589" s="332"/>
      <c r="G1589" s="332"/>
      <c r="H1589" s="332"/>
      <c r="I1589" s="333">
        <f>SUM(G1587:G1589)</f>
        <v>225222.40000000002</v>
      </c>
    </row>
    <row r="1590" spans="1:9" hidden="1">
      <c r="A1590" s="329"/>
      <c r="B1590" s="330"/>
      <c r="C1590" s="331"/>
      <c r="D1590" s="331" t="s">
        <v>412</v>
      </c>
      <c r="E1590" s="331"/>
      <c r="F1590" s="332"/>
      <c r="G1590" s="332"/>
      <c r="H1590" s="332"/>
      <c r="I1590" s="333">
        <f>SUM(I1571:I1589)</f>
        <v>4900170.4000000004</v>
      </c>
    </row>
    <row r="1591" spans="1:9" hidden="1">
      <c r="A1591" s="329"/>
      <c r="B1591" s="330"/>
      <c r="C1591" s="331"/>
      <c r="D1591" s="331" t="s">
        <v>413</v>
      </c>
      <c r="E1591" s="331"/>
      <c r="F1591" s="332"/>
      <c r="G1591" s="332"/>
      <c r="H1591" s="332"/>
      <c r="I1591" s="333">
        <f>I1590*0.1</f>
        <v>490017.04000000004</v>
      </c>
    </row>
    <row r="1592" spans="1:9" hidden="1">
      <c r="A1592" s="374"/>
      <c r="B1592" s="375"/>
      <c r="C1592" s="362"/>
      <c r="D1592" s="363" t="s">
        <v>414</v>
      </c>
      <c r="E1592" s="362"/>
      <c r="F1592" s="364"/>
      <c r="G1592" s="364"/>
      <c r="H1592" s="364"/>
      <c r="I1592" s="365">
        <f>ROUNDDOWN(I1591+I1590,0)</f>
        <v>5390187</v>
      </c>
    </row>
    <row r="1593" spans="1:9" ht="13.5" hidden="1" thickBot="1">
      <c r="A1593" s="377"/>
      <c r="B1593" s="378"/>
      <c r="C1593" s="368"/>
      <c r="D1593" s="369"/>
      <c r="E1593" s="368"/>
      <c r="F1593" s="370"/>
      <c r="G1593" s="370"/>
      <c r="H1593" s="370"/>
      <c r="I1593" s="371"/>
    </row>
    <row r="1594" spans="1:9" ht="14.25" hidden="1" thickTop="1" thickBot="1">
      <c r="A1594" s="309" t="s">
        <v>0</v>
      </c>
      <c r="B1594" s="380" t="s">
        <v>397</v>
      </c>
      <c r="C1594" s="310" t="s">
        <v>398</v>
      </c>
      <c r="D1594" s="310" t="s">
        <v>1</v>
      </c>
      <c r="E1594" s="311"/>
      <c r="F1594" s="381" t="s">
        <v>399</v>
      </c>
      <c r="G1594" s="381" t="s">
        <v>400</v>
      </c>
      <c r="H1594" s="381" t="s">
        <v>401</v>
      </c>
      <c r="I1594" s="382" t="s">
        <v>402</v>
      </c>
    </row>
    <row r="1595" spans="1:9" ht="13.5" hidden="1" thickTop="1">
      <c r="A1595" s="351">
        <v>80</v>
      </c>
      <c r="B1595" s="352" t="s">
        <v>576</v>
      </c>
      <c r="C1595" s="353"/>
      <c r="D1595" s="353"/>
      <c r="E1595" s="353"/>
      <c r="F1595" s="354"/>
      <c r="G1595" s="354"/>
      <c r="H1595" s="354"/>
      <c r="I1595" s="355"/>
    </row>
    <row r="1596" spans="1:9" hidden="1">
      <c r="A1596" s="334"/>
      <c r="B1596" s="335">
        <v>0.03</v>
      </c>
      <c r="C1596" s="336" t="s">
        <v>511</v>
      </c>
      <c r="D1596" s="336" t="s">
        <v>3</v>
      </c>
      <c r="E1596" s="336"/>
      <c r="F1596" s="337">
        <f>[2]Hardas!$E$10</f>
        <v>100000</v>
      </c>
      <c r="G1596" s="338">
        <f>F1596*B1596</f>
        <v>3000</v>
      </c>
      <c r="H1596" s="338"/>
      <c r="I1596" s="339"/>
    </row>
    <row r="1597" spans="1:9" hidden="1">
      <c r="A1597" s="334"/>
      <c r="B1597" s="335">
        <v>0.1</v>
      </c>
      <c r="C1597" s="336" t="s">
        <v>511</v>
      </c>
      <c r="D1597" s="336" t="s">
        <v>4</v>
      </c>
      <c r="E1597" s="336"/>
      <c r="F1597" s="338">
        <f>[2]Hardas!$E$11</f>
        <v>91000</v>
      </c>
      <c r="G1597" s="338">
        <f>F1597*B1597</f>
        <v>9100</v>
      </c>
      <c r="H1597" s="338"/>
      <c r="I1597" s="339"/>
    </row>
    <row r="1598" spans="1:9" hidden="1">
      <c r="A1598" s="334"/>
      <c r="B1598" s="335">
        <v>1.5</v>
      </c>
      <c r="C1598" s="336" t="s">
        <v>511</v>
      </c>
      <c r="D1598" s="336" t="s">
        <v>5</v>
      </c>
      <c r="E1598" s="336"/>
      <c r="F1598" s="338">
        <f>[2]Hardas!$E$13</f>
        <v>82000</v>
      </c>
      <c r="G1598" s="338">
        <f>F1598*B1598</f>
        <v>123000</v>
      </c>
      <c r="H1598" s="338"/>
      <c r="I1598" s="339"/>
    </row>
    <row r="1599" spans="1:9" hidden="1">
      <c r="A1599" s="334"/>
      <c r="B1599" s="335">
        <v>0.6</v>
      </c>
      <c r="C1599" s="336" t="s">
        <v>511</v>
      </c>
      <c r="D1599" s="336" t="s">
        <v>6</v>
      </c>
      <c r="E1599" s="336"/>
      <c r="F1599" s="338">
        <f>[2]Hardas!$E$21</f>
        <v>59000</v>
      </c>
      <c r="G1599" s="338">
        <f>F1599*B1599</f>
        <v>35400</v>
      </c>
      <c r="H1599" s="338"/>
      <c r="I1599" s="339"/>
    </row>
    <row r="1600" spans="1:9" hidden="1">
      <c r="A1600" s="329"/>
      <c r="B1600" s="330"/>
      <c r="C1600" s="331"/>
      <c r="D1600" s="331"/>
      <c r="E1600" s="331" t="s">
        <v>405</v>
      </c>
      <c r="F1600" s="332"/>
      <c r="G1600" s="332"/>
      <c r="H1600" s="332"/>
      <c r="I1600" s="333">
        <f>SUM(G1596:G1600)</f>
        <v>170500</v>
      </c>
    </row>
    <row r="1601" spans="1:9" hidden="1">
      <c r="A1601" s="334"/>
      <c r="B1601" s="335"/>
      <c r="C1601" s="336"/>
      <c r="D1601" s="336"/>
      <c r="E1601" s="336"/>
      <c r="F1601" s="338"/>
      <c r="G1601" s="338"/>
      <c r="H1601" s="338"/>
      <c r="I1601" s="339"/>
    </row>
    <row r="1602" spans="1:9" hidden="1">
      <c r="A1602" s="334"/>
      <c r="B1602" s="335">
        <v>90</v>
      </c>
      <c r="C1602" s="336" t="s">
        <v>566</v>
      </c>
      <c r="D1602" s="336" t="s">
        <v>31</v>
      </c>
      <c r="E1602" s="336"/>
      <c r="F1602" s="338">
        <f>[2]Hardas!$E$71</f>
        <v>70360</v>
      </c>
      <c r="G1602" s="338"/>
      <c r="H1602" s="338">
        <f t="shared" ref="H1602:H1609" si="29">F1602*B1602</f>
        <v>6332400</v>
      </c>
      <c r="I1602" s="339"/>
    </row>
    <row r="1603" spans="1:9" hidden="1">
      <c r="A1603" s="334"/>
      <c r="B1603" s="335">
        <v>54</v>
      </c>
      <c r="C1603" s="336" t="s">
        <v>453</v>
      </c>
      <c r="D1603" s="336" t="s">
        <v>567</v>
      </c>
      <c r="E1603" s="336"/>
      <c r="F1603" s="338">
        <f>[2]Hardas!$E$117</f>
        <v>42190</v>
      </c>
      <c r="G1603" s="338"/>
      <c r="H1603" s="338">
        <f t="shared" si="29"/>
        <v>2278260</v>
      </c>
      <c r="I1603" s="339"/>
    </row>
    <row r="1604" spans="1:9" hidden="1">
      <c r="A1604" s="334"/>
      <c r="B1604" s="335">
        <v>2</v>
      </c>
      <c r="C1604" s="336" t="s">
        <v>453</v>
      </c>
      <c r="D1604" s="336" t="s">
        <v>523</v>
      </c>
      <c r="E1604" s="336"/>
      <c r="F1604" s="338">
        <f>[2]Hardas!$E$152</f>
        <v>465450</v>
      </c>
      <c r="G1604" s="338"/>
      <c r="H1604" s="338">
        <f t="shared" si="29"/>
        <v>930900</v>
      </c>
      <c r="I1604" s="339"/>
    </row>
    <row r="1605" spans="1:9" hidden="1">
      <c r="A1605" s="334"/>
      <c r="B1605" s="335">
        <v>1</v>
      </c>
      <c r="C1605" s="336" t="s">
        <v>568</v>
      </c>
      <c r="D1605" s="336" t="s">
        <v>513</v>
      </c>
      <c r="E1605" s="336"/>
      <c r="F1605" s="338">
        <f>[2]Hardas!$E$193</f>
        <v>195450</v>
      </c>
      <c r="G1605" s="338"/>
      <c r="H1605" s="338">
        <f t="shared" si="29"/>
        <v>195450</v>
      </c>
      <c r="I1605" s="339"/>
    </row>
    <row r="1606" spans="1:9" hidden="1">
      <c r="A1606" s="334"/>
      <c r="B1606" s="335">
        <v>2</v>
      </c>
      <c r="C1606" s="336" t="s">
        <v>568</v>
      </c>
      <c r="D1606" s="336" t="s">
        <v>517</v>
      </c>
      <c r="E1606" s="336"/>
      <c r="F1606" s="338">
        <f>[2]Hardas!$E$200</f>
        <v>50000</v>
      </c>
      <c r="G1606" s="338"/>
      <c r="H1606" s="338">
        <f t="shared" si="29"/>
        <v>100000</v>
      </c>
      <c r="I1606" s="339"/>
    </row>
    <row r="1607" spans="1:9" hidden="1">
      <c r="A1607" s="334"/>
      <c r="B1607" s="335">
        <v>5</v>
      </c>
      <c r="C1607" s="336" t="s">
        <v>566</v>
      </c>
      <c r="D1607" s="336" t="s">
        <v>37</v>
      </c>
      <c r="E1607" s="336"/>
      <c r="F1607" s="338">
        <f>[2]Hardas!$E$95</f>
        <v>5450</v>
      </c>
      <c r="G1607" s="338"/>
      <c r="H1607" s="338">
        <f t="shared" si="29"/>
        <v>27250</v>
      </c>
      <c r="I1607" s="339"/>
    </row>
    <row r="1608" spans="1:9" hidden="1">
      <c r="A1608" s="334"/>
      <c r="B1608" s="335">
        <v>5</v>
      </c>
      <c r="C1608" s="336" t="s">
        <v>566</v>
      </c>
      <c r="D1608" s="336" t="s">
        <v>44</v>
      </c>
      <c r="E1608" s="336"/>
      <c r="F1608" s="338">
        <f>[2]Hardas!$E$94</f>
        <v>5450</v>
      </c>
      <c r="G1608" s="338"/>
      <c r="H1608" s="338">
        <f t="shared" si="29"/>
        <v>27250</v>
      </c>
      <c r="I1608" s="339"/>
    </row>
    <row r="1609" spans="1:9" hidden="1">
      <c r="A1609" s="334"/>
      <c r="B1609" s="335">
        <v>2</v>
      </c>
      <c r="C1609" s="336" t="s">
        <v>453</v>
      </c>
      <c r="D1609" s="336" t="s">
        <v>45</v>
      </c>
      <c r="E1609" s="336"/>
      <c r="F1609" s="338">
        <f>[2]Hardas!$E$82</f>
        <v>25240</v>
      </c>
      <c r="G1609" s="338"/>
      <c r="H1609" s="338">
        <f t="shared" si="29"/>
        <v>50480</v>
      </c>
      <c r="I1609" s="339"/>
    </row>
    <row r="1610" spans="1:9" hidden="1">
      <c r="A1610" s="329"/>
      <c r="B1610" s="330"/>
      <c r="C1610" s="331"/>
      <c r="D1610" s="331"/>
      <c r="E1610" s="331" t="s">
        <v>410</v>
      </c>
      <c r="F1610" s="332"/>
      <c r="G1610" s="332"/>
      <c r="H1610" s="332"/>
      <c r="I1610" s="333">
        <f>SUM(H1602:H1610)</f>
        <v>9941990</v>
      </c>
    </row>
    <row r="1611" spans="1:9" hidden="1">
      <c r="A1611" s="334"/>
      <c r="B1611" s="335"/>
      <c r="C1611" s="336"/>
      <c r="D1611" s="336"/>
      <c r="E1611" s="336"/>
      <c r="F1611" s="338"/>
      <c r="G1611" s="338"/>
      <c r="H1611" s="338"/>
      <c r="I1611" s="339"/>
    </row>
    <row r="1612" spans="1:9" hidden="1">
      <c r="A1612" s="334"/>
      <c r="B1612" s="335">
        <v>1</v>
      </c>
      <c r="C1612" s="336" t="s">
        <v>446</v>
      </c>
      <c r="D1612" s="336" t="s">
        <v>9</v>
      </c>
      <c r="E1612" s="336"/>
      <c r="F1612" s="338">
        <f>I1610*0.05</f>
        <v>497099.5</v>
      </c>
      <c r="G1612" s="338">
        <f>F1612*B1612</f>
        <v>497099.5</v>
      </c>
      <c r="H1612" s="338"/>
      <c r="I1612" s="339"/>
    </row>
    <row r="1613" spans="1:9" hidden="1">
      <c r="A1613" s="334"/>
      <c r="B1613" s="335"/>
      <c r="C1613" s="336"/>
      <c r="D1613" s="336"/>
      <c r="E1613" s="336"/>
      <c r="F1613" s="338"/>
      <c r="G1613" s="338"/>
      <c r="H1613" s="338"/>
      <c r="I1613" s="339"/>
    </row>
    <row r="1614" spans="1:9" hidden="1">
      <c r="A1614" s="329"/>
      <c r="B1614" s="330"/>
      <c r="C1614" s="331"/>
      <c r="D1614" s="331"/>
      <c r="E1614" s="331" t="s">
        <v>411</v>
      </c>
      <c r="F1614" s="332"/>
      <c r="G1614" s="332"/>
      <c r="H1614" s="332"/>
      <c r="I1614" s="333">
        <f>SUM(G1612:G1614)</f>
        <v>497099.5</v>
      </c>
    </row>
    <row r="1615" spans="1:9" hidden="1">
      <c r="A1615" s="329"/>
      <c r="B1615" s="330"/>
      <c r="C1615" s="331"/>
      <c r="D1615" s="331" t="s">
        <v>412</v>
      </c>
      <c r="E1615" s="331"/>
      <c r="F1615" s="332"/>
      <c r="G1615" s="332"/>
      <c r="H1615" s="332"/>
      <c r="I1615" s="333">
        <f>SUM(I1596:I1614)</f>
        <v>10609589.5</v>
      </c>
    </row>
    <row r="1616" spans="1:9" hidden="1">
      <c r="A1616" s="329"/>
      <c r="B1616" s="330"/>
      <c r="C1616" s="331"/>
      <c r="D1616" s="331" t="s">
        <v>413</v>
      </c>
      <c r="E1616" s="331"/>
      <c r="F1616" s="332"/>
      <c r="G1616" s="332"/>
      <c r="H1616" s="332"/>
      <c r="I1616" s="333">
        <f>I1615*0.1</f>
        <v>1060958.95</v>
      </c>
    </row>
    <row r="1617" spans="1:9" hidden="1">
      <c r="A1617" s="374"/>
      <c r="B1617" s="375"/>
      <c r="C1617" s="362"/>
      <c r="D1617" s="363" t="s">
        <v>414</v>
      </c>
      <c r="E1617" s="362"/>
      <c r="F1617" s="364"/>
      <c r="G1617" s="364"/>
      <c r="H1617" s="364"/>
      <c r="I1617" s="365">
        <f>ROUNDDOWN(I1616+I1615,0)</f>
        <v>11670548</v>
      </c>
    </row>
    <row r="1618" spans="1:9" ht="13.5" hidden="1" thickBot="1">
      <c r="A1618" s="377"/>
      <c r="B1618" s="378"/>
      <c r="C1618" s="368"/>
      <c r="D1618" s="369"/>
      <c r="E1618" s="368"/>
      <c r="F1618" s="370"/>
      <c r="G1618" s="370"/>
      <c r="H1618" s="370"/>
      <c r="I1618" s="371"/>
    </row>
    <row r="1619" spans="1:9" ht="14.25" hidden="1" thickTop="1" thickBot="1">
      <c r="A1619" s="309" t="s">
        <v>0</v>
      </c>
      <c r="B1619" s="380" t="s">
        <v>397</v>
      </c>
      <c r="C1619" s="310" t="s">
        <v>398</v>
      </c>
      <c r="D1619" s="310" t="s">
        <v>1</v>
      </c>
      <c r="E1619" s="311"/>
      <c r="F1619" s="381" t="s">
        <v>399</v>
      </c>
      <c r="G1619" s="381" t="s">
        <v>400</v>
      </c>
      <c r="H1619" s="381" t="s">
        <v>401</v>
      </c>
      <c r="I1619" s="382" t="s">
        <v>402</v>
      </c>
    </row>
    <row r="1620" spans="1:9" ht="13.5" hidden="1" thickTop="1">
      <c r="A1620" s="351">
        <v>81</v>
      </c>
      <c r="B1620" s="352" t="s">
        <v>577</v>
      </c>
      <c r="C1620" s="353"/>
      <c r="D1620" s="353"/>
      <c r="E1620" s="353"/>
      <c r="F1620" s="354"/>
      <c r="G1620" s="354"/>
      <c r="H1620" s="354"/>
      <c r="I1620" s="355"/>
    </row>
    <row r="1621" spans="1:9" hidden="1">
      <c r="A1621" s="334"/>
      <c r="B1621" s="335">
        <v>0.03</v>
      </c>
      <c r="C1621" s="336" t="s">
        <v>511</v>
      </c>
      <c r="D1621" s="336" t="s">
        <v>3</v>
      </c>
      <c r="E1621" s="336"/>
      <c r="F1621" s="337">
        <f>[2]Hardas!$E$10</f>
        <v>100000</v>
      </c>
      <c r="G1621" s="338">
        <f>F1621*B1621</f>
        <v>3000</v>
      </c>
      <c r="H1621" s="338"/>
      <c r="I1621" s="339"/>
    </row>
    <row r="1622" spans="1:9" hidden="1">
      <c r="A1622" s="334"/>
      <c r="B1622" s="335">
        <v>0.1</v>
      </c>
      <c r="C1622" s="336" t="s">
        <v>511</v>
      </c>
      <c r="D1622" s="336" t="s">
        <v>4</v>
      </c>
      <c r="E1622" s="336"/>
      <c r="F1622" s="338">
        <f>[2]Hardas!$E$11</f>
        <v>91000</v>
      </c>
      <c r="G1622" s="338">
        <f>F1622*B1622</f>
        <v>9100</v>
      </c>
      <c r="H1622" s="338"/>
      <c r="I1622" s="339"/>
    </row>
    <row r="1623" spans="1:9" hidden="1">
      <c r="A1623" s="334"/>
      <c r="B1623" s="335">
        <v>1.5</v>
      </c>
      <c r="C1623" s="336" t="s">
        <v>511</v>
      </c>
      <c r="D1623" s="336" t="s">
        <v>5</v>
      </c>
      <c r="E1623" s="336"/>
      <c r="F1623" s="338">
        <f>[2]Hardas!$E$13</f>
        <v>82000</v>
      </c>
      <c r="G1623" s="338">
        <f>F1623*B1623</f>
        <v>123000</v>
      </c>
      <c r="H1623" s="338"/>
      <c r="I1623" s="339"/>
    </row>
    <row r="1624" spans="1:9" hidden="1">
      <c r="A1624" s="334"/>
      <c r="B1624" s="335">
        <v>0.6</v>
      </c>
      <c r="C1624" s="336" t="s">
        <v>511</v>
      </c>
      <c r="D1624" s="336" t="s">
        <v>6</v>
      </c>
      <c r="E1624" s="336"/>
      <c r="F1624" s="338">
        <f>[2]Hardas!$E$21</f>
        <v>59000</v>
      </c>
      <c r="G1624" s="338">
        <f>F1624*B1624</f>
        <v>35400</v>
      </c>
      <c r="H1624" s="338"/>
      <c r="I1624" s="339"/>
    </row>
    <row r="1625" spans="1:9" hidden="1">
      <c r="A1625" s="329"/>
      <c r="B1625" s="330"/>
      <c r="C1625" s="331"/>
      <c r="D1625" s="331"/>
      <c r="E1625" s="331" t="s">
        <v>405</v>
      </c>
      <c r="F1625" s="332"/>
      <c r="G1625" s="332"/>
      <c r="H1625" s="332"/>
      <c r="I1625" s="333">
        <f>SUM(G1621:G1625)</f>
        <v>170500</v>
      </c>
    </row>
    <row r="1626" spans="1:9" hidden="1">
      <c r="A1626" s="334"/>
      <c r="B1626" s="335"/>
      <c r="C1626" s="336"/>
      <c r="D1626" s="336"/>
      <c r="E1626" s="336"/>
      <c r="F1626" s="338"/>
      <c r="G1626" s="338"/>
      <c r="H1626" s="338"/>
      <c r="I1626" s="339"/>
    </row>
    <row r="1627" spans="1:9" hidden="1">
      <c r="A1627" s="334"/>
      <c r="B1627" s="335">
        <v>65</v>
      </c>
      <c r="C1627" s="336" t="s">
        <v>566</v>
      </c>
      <c r="D1627" s="336" t="s">
        <v>31</v>
      </c>
      <c r="E1627" s="336"/>
      <c r="F1627" s="338">
        <f>[2]Hardas!$E$71</f>
        <v>70360</v>
      </c>
      <c r="G1627" s="338"/>
      <c r="H1627" s="338">
        <f t="shared" ref="H1627:H1634" si="30">F1627*B1627</f>
        <v>4573400</v>
      </c>
      <c r="I1627" s="339"/>
    </row>
    <row r="1628" spans="1:9" hidden="1">
      <c r="A1628" s="334"/>
      <c r="B1628" s="335">
        <v>19.5</v>
      </c>
      <c r="C1628" s="336" t="s">
        <v>453</v>
      </c>
      <c r="D1628" s="336" t="s">
        <v>567</v>
      </c>
      <c r="E1628" s="336"/>
      <c r="F1628" s="338">
        <f>[2]Hardas!$E$117</f>
        <v>42190</v>
      </c>
      <c r="G1628" s="338"/>
      <c r="H1628" s="338">
        <f t="shared" si="30"/>
        <v>822705</v>
      </c>
      <c r="I1628" s="339"/>
    </row>
    <row r="1629" spans="1:9" hidden="1">
      <c r="A1629" s="334"/>
      <c r="B1629" s="335">
        <v>3.6</v>
      </c>
      <c r="C1629" s="336" t="s">
        <v>453</v>
      </c>
      <c r="D1629" s="336" t="s">
        <v>523</v>
      </c>
      <c r="E1629" s="336"/>
      <c r="F1629" s="338">
        <f>[2]Hardas!$E$152</f>
        <v>465450</v>
      </c>
      <c r="G1629" s="338"/>
      <c r="H1629" s="338">
        <f t="shared" si="30"/>
        <v>1675620</v>
      </c>
      <c r="I1629" s="339"/>
    </row>
    <row r="1630" spans="1:9" hidden="1">
      <c r="A1630" s="334"/>
      <c r="B1630" s="335">
        <v>3</v>
      </c>
      <c r="C1630" s="336" t="s">
        <v>568</v>
      </c>
      <c r="D1630" s="336" t="s">
        <v>513</v>
      </c>
      <c r="E1630" s="336"/>
      <c r="F1630" s="338">
        <f>[2]Hardas!$E$193</f>
        <v>195450</v>
      </c>
      <c r="G1630" s="338"/>
      <c r="H1630" s="338">
        <f t="shared" si="30"/>
        <v>586350</v>
      </c>
      <c r="I1630" s="339"/>
    </row>
    <row r="1631" spans="1:9" hidden="1">
      <c r="A1631" s="334"/>
      <c r="B1631" s="335">
        <v>6</v>
      </c>
      <c r="C1631" s="336" t="s">
        <v>568</v>
      </c>
      <c r="D1631" s="336" t="s">
        <v>517</v>
      </c>
      <c r="E1631" s="336"/>
      <c r="F1631" s="338">
        <f>[2]Hardas!$E$200</f>
        <v>50000</v>
      </c>
      <c r="G1631" s="338"/>
      <c r="H1631" s="338">
        <f t="shared" si="30"/>
        <v>300000</v>
      </c>
      <c r="I1631" s="339"/>
    </row>
    <row r="1632" spans="1:9" hidden="1">
      <c r="A1632" s="334"/>
      <c r="B1632" s="335">
        <v>19</v>
      </c>
      <c r="C1632" s="336" t="s">
        <v>566</v>
      </c>
      <c r="D1632" s="336" t="s">
        <v>37</v>
      </c>
      <c r="E1632" s="336"/>
      <c r="F1632" s="338">
        <f>[2]Hardas!$E$95</f>
        <v>5450</v>
      </c>
      <c r="G1632" s="338"/>
      <c r="H1632" s="338">
        <f t="shared" si="30"/>
        <v>103550</v>
      </c>
      <c r="I1632" s="339"/>
    </row>
    <row r="1633" spans="1:9" hidden="1">
      <c r="A1633" s="334"/>
      <c r="B1633" s="335">
        <v>19</v>
      </c>
      <c r="C1633" s="336" t="s">
        <v>566</v>
      </c>
      <c r="D1633" s="336" t="s">
        <v>44</v>
      </c>
      <c r="E1633" s="336"/>
      <c r="F1633" s="338">
        <f>[2]Hardas!$E$94</f>
        <v>5450</v>
      </c>
      <c r="G1633" s="338"/>
      <c r="H1633" s="338">
        <f t="shared" si="30"/>
        <v>103550</v>
      </c>
      <c r="I1633" s="339"/>
    </row>
    <row r="1634" spans="1:9" hidden="1">
      <c r="A1634" s="334"/>
      <c r="B1634" s="335">
        <v>3.6</v>
      </c>
      <c r="C1634" s="336" t="s">
        <v>453</v>
      </c>
      <c r="D1634" s="336" t="s">
        <v>45</v>
      </c>
      <c r="E1634" s="336"/>
      <c r="F1634" s="338">
        <f>[2]Hardas!$E$82</f>
        <v>25240</v>
      </c>
      <c r="G1634" s="338"/>
      <c r="H1634" s="338">
        <f t="shared" si="30"/>
        <v>90864</v>
      </c>
      <c r="I1634" s="339"/>
    </row>
    <row r="1635" spans="1:9" hidden="1">
      <c r="A1635" s="329"/>
      <c r="B1635" s="330"/>
      <c r="C1635" s="331"/>
      <c r="D1635" s="331"/>
      <c r="E1635" s="331" t="s">
        <v>410</v>
      </c>
      <c r="F1635" s="332"/>
      <c r="G1635" s="332"/>
      <c r="H1635" s="332"/>
      <c r="I1635" s="333">
        <f>SUM(H1627:H1635)</f>
        <v>8256039</v>
      </c>
    </row>
    <row r="1636" spans="1:9" hidden="1">
      <c r="A1636" s="334"/>
      <c r="B1636" s="335"/>
      <c r="C1636" s="336"/>
      <c r="D1636" s="336"/>
      <c r="E1636" s="336"/>
      <c r="F1636" s="338"/>
      <c r="G1636" s="338"/>
      <c r="H1636" s="338"/>
      <c r="I1636" s="339"/>
    </row>
    <row r="1637" spans="1:9" hidden="1">
      <c r="A1637" s="334"/>
      <c r="B1637" s="335">
        <v>1</v>
      </c>
      <c r="C1637" s="336" t="s">
        <v>446</v>
      </c>
      <c r="D1637" s="336" t="s">
        <v>9</v>
      </c>
      <c r="E1637" s="336"/>
      <c r="F1637" s="338">
        <f>I1635*0.05</f>
        <v>412801.95</v>
      </c>
      <c r="G1637" s="338">
        <f>F1637*B1637</f>
        <v>412801.95</v>
      </c>
      <c r="H1637" s="338"/>
      <c r="I1637" s="339"/>
    </row>
    <row r="1638" spans="1:9" hidden="1">
      <c r="A1638" s="334"/>
      <c r="B1638" s="335"/>
      <c r="C1638" s="336"/>
      <c r="D1638" s="336"/>
      <c r="E1638" s="336"/>
      <c r="F1638" s="338"/>
      <c r="G1638" s="338"/>
      <c r="H1638" s="338"/>
      <c r="I1638" s="339"/>
    </row>
    <row r="1639" spans="1:9" hidden="1">
      <c r="A1639" s="329"/>
      <c r="B1639" s="330"/>
      <c r="C1639" s="331"/>
      <c r="D1639" s="331"/>
      <c r="E1639" s="331" t="s">
        <v>411</v>
      </c>
      <c r="F1639" s="332"/>
      <c r="G1639" s="332"/>
      <c r="H1639" s="332"/>
      <c r="I1639" s="333">
        <f>SUM(G1637:G1639)</f>
        <v>412801.95</v>
      </c>
    </row>
    <row r="1640" spans="1:9" hidden="1">
      <c r="A1640" s="329"/>
      <c r="B1640" s="330"/>
      <c r="C1640" s="331"/>
      <c r="D1640" s="331" t="s">
        <v>412</v>
      </c>
      <c r="E1640" s="331"/>
      <c r="F1640" s="332"/>
      <c r="G1640" s="332"/>
      <c r="H1640" s="332"/>
      <c r="I1640" s="333">
        <f>SUM(I1621:I1639)</f>
        <v>8839340.9499999993</v>
      </c>
    </row>
    <row r="1641" spans="1:9" hidden="1">
      <c r="A1641" s="329"/>
      <c r="B1641" s="330"/>
      <c r="C1641" s="331"/>
      <c r="D1641" s="331" t="s">
        <v>413</v>
      </c>
      <c r="E1641" s="331"/>
      <c r="F1641" s="332"/>
      <c r="G1641" s="332"/>
      <c r="H1641" s="332"/>
      <c r="I1641" s="333">
        <f>I1640*0.1</f>
        <v>883934.09499999997</v>
      </c>
    </row>
    <row r="1642" spans="1:9" hidden="1">
      <c r="A1642" s="374"/>
      <c r="B1642" s="375"/>
      <c r="C1642" s="362"/>
      <c r="D1642" s="363" t="s">
        <v>414</v>
      </c>
      <c r="E1642" s="362"/>
      <c r="F1642" s="364"/>
      <c r="G1642" s="364"/>
      <c r="H1642" s="364"/>
      <c r="I1642" s="365">
        <f>ROUNDDOWN(I1641+I1640,0)</f>
        <v>9723275</v>
      </c>
    </row>
    <row r="1643" spans="1:9" ht="13.5" hidden="1" thickBot="1">
      <c r="A1643" s="377"/>
      <c r="B1643" s="378"/>
      <c r="C1643" s="368"/>
      <c r="D1643" s="369"/>
      <c r="E1643" s="368"/>
      <c r="F1643" s="370"/>
      <c r="G1643" s="370"/>
      <c r="H1643" s="370"/>
      <c r="I1643" s="371"/>
    </row>
    <row r="1644" spans="1:9" ht="14.25" hidden="1" thickTop="1" thickBot="1">
      <c r="A1644" s="309" t="s">
        <v>0</v>
      </c>
      <c r="B1644" s="380" t="s">
        <v>397</v>
      </c>
      <c r="C1644" s="310" t="s">
        <v>398</v>
      </c>
      <c r="D1644" s="310" t="s">
        <v>1</v>
      </c>
      <c r="E1644" s="311"/>
      <c r="F1644" s="381" t="s">
        <v>399</v>
      </c>
      <c r="G1644" s="381" t="s">
        <v>400</v>
      </c>
      <c r="H1644" s="381" t="s">
        <v>401</v>
      </c>
      <c r="I1644" s="382" t="s">
        <v>402</v>
      </c>
    </row>
    <row r="1645" spans="1:9" ht="13.5" hidden="1" thickTop="1">
      <c r="A1645" s="351">
        <v>82</v>
      </c>
      <c r="B1645" s="352" t="s">
        <v>578</v>
      </c>
      <c r="C1645" s="348"/>
      <c r="D1645" s="348"/>
      <c r="E1645" s="348"/>
      <c r="F1645" s="349"/>
      <c r="G1645" s="349"/>
      <c r="H1645" s="349"/>
      <c r="I1645" s="350"/>
    </row>
    <row r="1646" spans="1:9" hidden="1">
      <c r="A1646" s="334"/>
      <c r="B1646" s="335">
        <v>0.03</v>
      </c>
      <c r="C1646" s="336" t="s">
        <v>511</v>
      </c>
      <c r="D1646" s="336" t="s">
        <v>3</v>
      </c>
      <c r="E1646" s="336"/>
      <c r="F1646" s="337">
        <f>[2]Hardas!$E$10</f>
        <v>100000</v>
      </c>
      <c r="G1646" s="338">
        <f>F1646*B1646</f>
        <v>3000</v>
      </c>
      <c r="H1646" s="338"/>
      <c r="I1646" s="339"/>
    </row>
    <row r="1647" spans="1:9" hidden="1">
      <c r="A1647" s="334"/>
      <c r="B1647" s="335">
        <v>0.1</v>
      </c>
      <c r="C1647" s="336" t="s">
        <v>511</v>
      </c>
      <c r="D1647" s="336" t="s">
        <v>4</v>
      </c>
      <c r="E1647" s="336"/>
      <c r="F1647" s="338">
        <f>[2]Hardas!$E$11</f>
        <v>91000</v>
      </c>
      <c r="G1647" s="338">
        <f>F1647*B1647</f>
        <v>9100</v>
      </c>
      <c r="H1647" s="338"/>
      <c r="I1647" s="339"/>
    </row>
    <row r="1648" spans="1:9" hidden="1">
      <c r="A1648" s="334"/>
      <c r="B1648" s="335">
        <v>1.6</v>
      </c>
      <c r="C1648" s="336" t="s">
        <v>511</v>
      </c>
      <c r="D1648" s="336" t="s">
        <v>5</v>
      </c>
      <c r="E1648" s="336"/>
      <c r="F1648" s="338">
        <f>[2]Hardas!$E$13</f>
        <v>82000</v>
      </c>
      <c r="G1648" s="338">
        <f>F1648*B1648</f>
        <v>131200</v>
      </c>
      <c r="H1648" s="338"/>
      <c r="I1648" s="339"/>
    </row>
    <row r="1649" spans="1:9" hidden="1">
      <c r="A1649" s="334"/>
      <c r="B1649" s="335">
        <v>0.6</v>
      </c>
      <c r="C1649" s="336" t="s">
        <v>511</v>
      </c>
      <c r="D1649" s="336" t="s">
        <v>6</v>
      </c>
      <c r="E1649" s="336"/>
      <c r="F1649" s="338">
        <f>[2]Hardas!$E$21</f>
        <v>59000</v>
      </c>
      <c r="G1649" s="338">
        <f>F1649*B1649</f>
        <v>35400</v>
      </c>
      <c r="H1649" s="338"/>
      <c r="I1649" s="339"/>
    </row>
    <row r="1650" spans="1:9" hidden="1">
      <c r="A1650" s="329"/>
      <c r="B1650" s="330"/>
      <c r="C1650" s="331"/>
      <c r="D1650" s="331"/>
      <c r="E1650" s="331" t="s">
        <v>405</v>
      </c>
      <c r="F1650" s="332"/>
      <c r="G1650" s="332"/>
      <c r="H1650" s="332"/>
      <c r="I1650" s="333">
        <f>SUM(G1646:G1650)</f>
        <v>178700</v>
      </c>
    </row>
    <row r="1651" spans="1:9" hidden="1">
      <c r="A1651" s="334"/>
      <c r="B1651" s="335"/>
      <c r="C1651" s="336"/>
      <c r="D1651" s="336"/>
      <c r="E1651" s="336"/>
      <c r="F1651" s="338"/>
      <c r="G1651" s="338"/>
      <c r="H1651" s="338"/>
      <c r="I1651" s="339"/>
    </row>
    <row r="1652" spans="1:9" hidden="1">
      <c r="A1652" s="334"/>
      <c r="B1652" s="335">
        <v>78</v>
      </c>
      <c r="C1652" s="336" t="s">
        <v>566</v>
      </c>
      <c r="D1652" s="336" t="s">
        <v>31</v>
      </c>
      <c r="E1652" s="336"/>
      <c r="F1652" s="338">
        <f>[2]Hardas!$E$71</f>
        <v>70360</v>
      </c>
      <c r="G1652" s="338"/>
      <c r="H1652" s="338">
        <f t="shared" ref="H1652:H1658" si="31">F1652*B1652</f>
        <v>5488080</v>
      </c>
      <c r="I1652" s="339"/>
    </row>
    <row r="1653" spans="1:9" hidden="1">
      <c r="A1653" s="334"/>
      <c r="B1653" s="335">
        <v>6</v>
      </c>
      <c r="C1653" s="336" t="s">
        <v>453</v>
      </c>
      <c r="D1653" s="336" t="s">
        <v>523</v>
      </c>
      <c r="E1653" s="336"/>
      <c r="F1653" s="338">
        <f>[2]Hardas!$E$152</f>
        <v>465450</v>
      </c>
      <c r="G1653" s="338"/>
      <c r="H1653" s="338">
        <f t="shared" si="31"/>
        <v>2792700</v>
      </c>
      <c r="I1653" s="339"/>
    </row>
    <row r="1654" spans="1:9" hidden="1">
      <c r="A1654" s="334"/>
      <c r="B1654" s="335">
        <v>3</v>
      </c>
      <c r="C1654" s="336" t="s">
        <v>568</v>
      </c>
      <c r="D1654" s="336" t="s">
        <v>513</v>
      </c>
      <c r="E1654" s="336"/>
      <c r="F1654" s="338">
        <f>[2]Hardas!$E$193</f>
        <v>195450</v>
      </c>
      <c r="G1654" s="338"/>
      <c r="H1654" s="338">
        <f t="shared" si="31"/>
        <v>586350</v>
      </c>
      <c r="I1654" s="339"/>
    </row>
    <row r="1655" spans="1:9" hidden="1">
      <c r="A1655" s="334"/>
      <c r="B1655" s="335">
        <v>6</v>
      </c>
      <c r="C1655" s="336" t="s">
        <v>568</v>
      </c>
      <c r="D1655" s="336" t="s">
        <v>517</v>
      </c>
      <c r="E1655" s="336"/>
      <c r="F1655" s="338">
        <f>[2]Hardas!$E$200</f>
        <v>50000</v>
      </c>
      <c r="G1655" s="338"/>
      <c r="H1655" s="338">
        <f t="shared" si="31"/>
        <v>300000</v>
      </c>
      <c r="I1655" s="339"/>
    </row>
    <row r="1656" spans="1:9" hidden="1">
      <c r="A1656" s="334"/>
      <c r="B1656" s="335">
        <v>32</v>
      </c>
      <c r="C1656" s="336" t="s">
        <v>566</v>
      </c>
      <c r="D1656" s="336" t="s">
        <v>37</v>
      </c>
      <c r="E1656" s="336"/>
      <c r="F1656" s="338">
        <f>[2]Hardas!$E$95</f>
        <v>5450</v>
      </c>
      <c r="G1656" s="338"/>
      <c r="H1656" s="338">
        <f t="shared" si="31"/>
        <v>174400</v>
      </c>
      <c r="I1656" s="339"/>
    </row>
    <row r="1657" spans="1:9" hidden="1">
      <c r="A1657" s="334"/>
      <c r="B1657" s="335">
        <v>32</v>
      </c>
      <c r="C1657" s="336" t="s">
        <v>566</v>
      </c>
      <c r="D1657" s="336" t="s">
        <v>44</v>
      </c>
      <c r="E1657" s="336"/>
      <c r="F1657" s="338">
        <f>[2]Hardas!$E$94</f>
        <v>5450</v>
      </c>
      <c r="G1657" s="338"/>
      <c r="H1657" s="338">
        <f t="shared" si="31"/>
        <v>174400</v>
      </c>
      <c r="I1657" s="339"/>
    </row>
    <row r="1658" spans="1:9" hidden="1">
      <c r="A1658" s="329"/>
      <c r="B1658" s="335">
        <v>6</v>
      </c>
      <c r="C1658" s="336" t="s">
        <v>453</v>
      </c>
      <c r="D1658" s="336" t="s">
        <v>45</v>
      </c>
      <c r="E1658" s="336"/>
      <c r="F1658" s="338">
        <f>[2]Hardas!$E$82</f>
        <v>25240</v>
      </c>
      <c r="G1658" s="338"/>
      <c r="H1658" s="338">
        <f t="shared" si="31"/>
        <v>151440</v>
      </c>
      <c r="I1658" s="339"/>
    </row>
    <row r="1659" spans="1:9" hidden="1">
      <c r="A1659" s="334"/>
      <c r="B1659" s="335"/>
      <c r="C1659" s="331"/>
      <c r="D1659" s="331"/>
      <c r="E1659" s="331" t="s">
        <v>410</v>
      </c>
      <c r="F1659" s="332"/>
      <c r="G1659" s="332"/>
      <c r="H1659" s="332"/>
      <c r="I1659" s="333">
        <f>SUM(H1652:H1659)</f>
        <v>9667370</v>
      </c>
    </row>
    <row r="1660" spans="1:9" hidden="1">
      <c r="A1660" s="334"/>
      <c r="B1660" s="335">
        <v>1</v>
      </c>
      <c r="C1660" s="336" t="s">
        <v>446</v>
      </c>
      <c r="D1660" s="336" t="s">
        <v>9</v>
      </c>
      <c r="E1660" s="336"/>
      <c r="F1660" s="338">
        <f>I1659*0.05</f>
        <v>483368.5</v>
      </c>
      <c r="G1660" s="338">
        <f>F1660*B1660</f>
        <v>483368.5</v>
      </c>
      <c r="H1660" s="338"/>
      <c r="I1660" s="339"/>
    </row>
    <row r="1661" spans="1:9" hidden="1">
      <c r="A1661" s="334"/>
      <c r="B1661" s="335"/>
      <c r="C1661" s="336"/>
      <c r="D1661" s="336"/>
      <c r="E1661" s="336"/>
      <c r="F1661" s="338"/>
      <c r="G1661" s="338"/>
      <c r="H1661" s="338"/>
      <c r="I1661" s="339"/>
    </row>
    <row r="1662" spans="1:9" hidden="1">
      <c r="A1662" s="329"/>
      <c r="B1662" s="330"/>
      <c r="C1662" s="331"/>
      <c r="D1662" s="331"/>
      <c r="E1662" s="331" t="s">
        <v>411</v>
      </c>
      <c r="F1662" s="332"/>
      <c r="G1662" s="332"/>
      <c r="H1662" s="332"/>
      <c r="I1662" s="333">
        <f>SUM(G1660:G1662)</f>
        <v>483368.5</v>
      </c>
    </row>
    <row r="1663" spans="1:9" hidden="1">
      <c r="A1663" s="329"/>
      <c r="B1663" s="330"/>
      <c r="C1663" s="331"/>
      <c r="D1663" s="331" t="s">
        <v>412</v>
      </c>
      <c r="E1663" s="331"/>
      <c r="F1663" s="332"/>
      <c r="G1663" s="332"/>
      <c r="H1663" s="332"/>
      <c r="I1663" s="333">
        <f>SUM(I1646:I1662)</f>
        <v>10329438.5</v>
      </c>
    </row>
    <row r="1664" spans="1:9" hidden="1">
      <c r="A1664" s="329"/>
      <c r="B1664" s="330"/>
      <c r="C1664" s="331"/>
      <c r="D1664" s="331" t="s">
        <v>413</v>
      </c>
      <c r="E1664" s="331"/>
      <c r="F1664" s="332"/>
      <c r="G1664" s="332"/>
      <c r="H1664" s="332"/>
      <c r="I1664" s="333">
        <f>I1663*0.1</f>
        <v>1032943.8500000001</v>
      </c>
    </row>
    <row r="1665" spans="1:9" hidden="1">
      <c r="A1665" s="374"/>
      <c r="B1665" s="375"/>
      <c r="C1665" s="362"/>
      <c r="D1665" s="363" t="s">
        <v>414</v>
      </c>
      <c r="E1665" s="362"/>
      <c r="F1665" s="364"/>
      <c r="G1665" s="364"/>
      <c r="H1665" s="364"/>
      <c r="I1665" s="365">
        <f>ROUNDDOWN(I1664+I1663,0)</f>
        <v>11362382</v>
      </c>
    </row>
    <row r="1666" spans="1:9" ht="13.5" hidden="1" thickBot="1">
      <c r="A1666" s="377"/>
      <c r="B1666" s="378"/>
      <c r="C1666" s="368"/>
      <c r="D1666" s="369"/>
      <c r="E1666" s="368"/>
      <c r="F1666" s="370"/>
      <c r="G1666" s="370"/>
      <c r="H1666" s="370"/>
      <c r="I1666" s="371"/>
    </row>
    <row r="1667" spans="1:9" ht="14.25" hidden="1" thickTop="1" thickBot="1">
      <c r="A1667" s="309" t="s">
        <v>0</v>
      </c>
      <c r="B1667" s="380" t="s">
        <v>397</v>
      </c>
      <c r="C1667" s="310" t="s">
        <v>398</v>
      </c>
      <c r="D1667" s="310" t="s">
        <v>1</v>
      </c>
      <c r="E1667" s="311"/>
      <c r="F1667" s="381" t="s">
        <v>399</v>
      </c>
      <c r="G1667" s="381" t="s">
        <v>400</v>
      </c>
      <c r="H1667" s="381" t="s">
        <v>401</v>
      </c>
      <c r="I1667" s="382" t="s">
        <v>402</v>
      </c>
    </row>
    <row r="1668" spans="1:9" ht="13.5" hidden="1" thickTop="1">
      <c r="A1668" s="351">
        <v>83</v>
      </c>
      <c r="B1668" s="352" t="s">
        <v>579</v>
      </c>
      <c r="C1668" s="348"/>
      <c r="D1668" s="348"/>
      <c r="E1668" s="348"/>
      <c r="F1668" s="349"/>
      <c r="G1668" s="349"/>
      <c r="H1668" s="349"/>
      <c r="I1668" s="350"/>
    </row>
    <row r="1669" spans="1:9" hidden="1">
      <c r="A1669" s="334"/>
      <c r="B1669" s="335">
        <v>0.03</v>
      </c>
      <c r="C1669" s="336" t="s">
        <v>511</v>
      </c>
      <c r="D1669" s="336" t="s">
        <v>3</v>
      </c>
      <c r="E1669" s="336"/>
      <c r="F1669" s="337">
        <f>[2]Hardas!$E$10</f>
        <v>100000</v>
      </c>
      <c r="G1669" s="338">
        <f>F1669*B1669</f>
        <v>3000</v>
      </c>
      <c r="H1669" s="338"/>
      <c r="I1669" s="339"/>
    </row>
    <row r="1670" spans="1:9" hidden="1">
      <c r="A1670" s="334"/>
      <c r="B1670" s="335">
        <v>0.1</v>
      </c>
      <c r="C1670" s="336" t="s">
        <v>511</v>
      </c>
      <c r="D1670" s="336" t="s">
        <v>4</v>
      </c>
      <c r="E1670" s="336"/>
      <c r="F1670" s="338">
        <f>[2]Hardas!$E$11</f>
        <v>91000</v>
      </c>
      <c r="G1670" s="338">
        <f>F1670*B1670</f>
        <v>9100</v>
      </c>
      <c r="H1670" s="338"/>
      <c r="I1670" s="339"/>
    </row>
    <row r="1671" spans="1:9" hidden="1">
      <c r="A1671" s="334"/>
      <c r="B1671" s="335">
        <v>1.5</v>
      </c>
      <c r="C1671" s="336" t="s">
        <v>511</v>
      </c>
      <c r="D1671" s="336" t="s">
        <v>5</v>
      </c>
      <c r="E1671" s="336"/>
      <c r="F1671" s="338">
        <f>[2]Hardas!$E$13</f>
        <v>82000</v>
      </c>
      <c r="G1671" s="338">
        <f>F1671*B1671</f>
        <v>123000</v>
      </c>
      <c r="H1671" s="338"/>
      <c r="I1671" s="339"/>
    </row>
    <row r="1672" spans="1:9" hidden="1">
      <c r="A1672" s="334"/>
      <c r="B1672" s="335">
        <v>0.6</v>
      </c>
      <c r="C1672" s="336" t="s">
        <v>511</v>
      </c>
      <c r="D1672" s="336" t="s">
        <v>6</v>
      </c>
      <c r="E1672" s="336"/>
      <c r="F1672" s="338">
        <f>[2]Hardas!$E$21</f>
        <v>59000</v>
      </c>
      <c r="G1672" s="338">
        <f>F1672*B1672</f>
        <v>35400</v>
      </c>
      <c r="H1672" s="338"/>
      <c r="I1672" s="339"/>
    </row>
    <row r="1673" spans="1:9" hidden="1">
      <c r="A1673" s="329"/>
      <c r="B1673" s="330"/>
      <c r="C1673" s="331"/>
      <c r="D1673" s="331"/>
      <c r="E1673" s="331" t="s">
        <v>405</v>
      </c>
      <c r="F1673" s="332"/>
      <c r="G1673" s="332"/>
      <c r="H1673" s="332"/>
      <c r="I1673" s="333">
        <f>SUM(G1669:G1673)</f>
        <v>170500</v>
      </c>
    </row>
    <row r="1674" spans="1:9" hidden="1">
      <c r="A1674" s="334"/>
      <c r="B1674" s="335"/>
      <c r="C1674" s="336"/>
      <c r="D1674" s="336"/>
      <c r="E1674" s="336"/>
      <c r="F1674" s="338"/>
      <c r="G1674" s="338"/>
      <c r="H1674" s="338"/>
      <c r="I1674" s="339"/>
    </row>
    <row r="1675" spans="1:9" hidden="1">
      <c r="A1675" s="334"/>
      <c r="B1675" s="335">
        <v>64</v>
      </c>
      <c r="C1675" s="336" t="s">
        <v>566</v>
      </c>
      <c r="D1675" s="336" t="s">
        <v>31</v>
      </c>
      <c r="E1675" s="336"/>
      <c r="F1675" s="338">
        <f>[2]Hardas!$E$71</f>
        <v>70360</v>
      </c>
      <c r="G1675" s="338"/>
      <c r="H1675" s="338">
        <f t="shared" ref="H1675:H1681" si="32">F1675*B1675</f>
        <v>4503040</v>
      </c>
      <c r="I1675" s="339"/>
    </row>
    <row r="1676" spans="1:9" hidden="1">
      <c r="A1676" s="334"/>
      <c r="B1676" s="335">
        <v>5.5</v>
      </c>
      <c r="C1676" s="336" t="s">
        <v>453</v>
      </c>
      <c r="D1676" s="336" t="s">
        <v>523</v>
      </c>
      <c r="E1676" s="336"/>
      <c r="F1676" s="338">
        <f>[2]Hardas!$E$152</f>
        <v>465450</v>
      </c>
      <c r="G1676" s="338"/>
      <c r="H1676" s="338">
        <f t="shared" si="32"/>
        <v>2559975</v>
      </c>
      <c r="I1676" s="339"/>
    </row>
    <row r="1677" spans="1:9" hidden="1">
      <c r="A1677" s="334"/>
      <c r="B1677" s="335">
        <v>3</v>
      </c>
      <c r="C1677" s="336" t="s">
        <v>568</v>
      </c>
      <c r="D1677" s="336" t="s">
        <v>513</v>
      </c>
      <c r="E1677" s="336"/>
      <c r="F1677" s="338">
        <f>[2]Hardas!$E$193</f>
        <v>195450</v>
      </c>
      <c r="G1677" s="338"/>
      <c r="H1677" s="338">
        <f t="shared" si="32"/>
        <v>586350</v>
      </c>
      <c r="I1677" s="339"/>
    </row>
    <row r="1678" spans="1:9" hidden="1">
      <c r="A1678" s="334"/>
      <c r="B1678" s="335">
        <v>6</v>
      </c>
      <c r="C1678" s="336" t="s">
        <v>568</v>
      </c>
      <c r="D1678" s="336" t="s">
        <v>517</v>
      </c>
      <c r="E1678" s="336"/>
      <c r="F1678" s="338">
        <f>[2]Hardas!$E$200</f>
        <v>50000</v>
      </c>
      <c r="G1678" s="338"/>
      <c r="H1678" s="338">
        <f t="shared" si="32"/>
        <v>300000</v>
      </c>
      <c r="I1678" s="339"/>
    </row>
    <row r="1679" spans="1:9" hidden="1">
      <c r="A1679" s="334"/>
      <c r="B1679" s="335">
        <v>29</v>
      </c>
      <c r="C1679" s="336" t="s">
        <v>566</v>
      </c>
      <c r="D1679" s="336" t="s">
        <v>37</v>
      </c>
      <c r="E1679" s="336"/>
      <c r="F1679" s="338">
        <f>[2]Hardas!$E$95</f>
        <v>5450</v>
      </c>
      <c r="G1679" s="338"/>
      <c r="H1679" s="338">
        <f t="shared" si="32"/>
        <v>158050</v>
      </c>
      <c r="I1679" s="339"/>
    </row>
    <row r="1680" spans="1:9" hidden="1">
      <c r="A1680" s="334"/>
      <c r="B1680" s="335">
        <v>29</v>
      </c>
      <c r="C1680" s="336" t="s">
        <v>566</v>
      </c>
      <c r="D1680" s="336" t="s">
        <v>44</v>
      </c>
      <c r="E1680" s="336"/>
      <c r="F1680" s="338">
        <f>[2]Hardas!$E$94</f>
        <v>5450</v>
      </c>
      <c r="G1680" s="338"/>
      <c r="H1680" s="338">
        <f t="shared" si="32"/>
        <v>158050</v>
      </c>
      <c r="I1680" s="339"/>
    </row>
    <row r="1681" spans="1:9" hidden="1">
      <c r="A1681" s="334"/>
      <c r="B1681" s="335">
        <v>5.5</v>
      </c>
      <c r="C1681" s="336" t="s">
        <v>453</v>
      </c>
      <c r="D1681" s="336" t="s">
        <v>45</v>
      </c>
      <c r="E1681" s="336"/>
      <c r="F1681" s="338">
        <f>[2]Hardas!$E$82</f>
        <v>25240</v>
      </c>
      <c r="G1681" s="338"/>
      <c r="H1681" s="338">
        <f t="shared" si="32"/>
        <v>138820</v>
      </c>
      <c r="I1681" s="339"/>
    </row>
    <row r="1682" spans="1:9" hidden="1">
      <c r="A1682" s="334"/>
      <c r="B1682" s="335"/>
      <c r="C1682" s="331"/>
      <c r="D1682" s="331"/>
      <c r="E1682" s="331" t="s">
        <v>410</v>
      </c>
      <c r="F1682" s="332"/>
      <c r="G1682" s="332"/>
      <c r="H1682" s="332"/>
      <c r="I1682" s="333">
        <f>SUM(H1675:H1682)</f>
        <v>8404285</v>
      </c>
    </row>
    <row r="1683" spans="1:9" hidden="1">
      <c r="A1683" s="334"/>
      <c r="B1683" s="335">
        <v>1</v>
      </c>
      <c r="C1683" s="336" t="s">
        <v>446</v>
      </c>
      <c r="D1683" s="336" t="s">
        <v>9</v>
      </c>
      <c r="E1683" s="336"/>
      <c r="F1683" s="338">
        <f>I1682*0</f>
        <v>0</v>
      </c>
      <c r="G1683" s="338">
        <f>F1683*B1683</f>
        <v>0</v>
      </c>
      <c r="H1683" s="338"/>
      <c r="I1683" s="339"/>
    </row>
    <row r="1684" spans="1:9" hidden="1">
      <c r="A1684" s="334"/>
      <c r="B1684" s="335"/>
      <c r="C1684" s="336"/>
      <c r="D1684" s="336"/>
      <c r="E1684" s="336"/>
      <c r="F1684" s="338"/>
      <c r="G1684" s="338"/>
      <c r="H1684" s="338"/>
      <c r="I1684" s="339"/>
    </row>
    <row r="1685" spans="1:9" hidden="1">
      <c r="A1685" s="329"/>
      <c r="B1685" s="330"/>
      <c r="C1685" s="331"/>
      <c r="D1685" s="331"/>
      <c r="E1685" s="331" t="s">
        <v>411</v>
      </c>
      <c r="F1685" s="332"/>
      <c r="G1685" s="332"/>
      <c r="H1685" s="332"/>
      <c r="I1685" s="333">
        <f>SUM(G1683:G1685)</f>
        <v>0</v>
      </c>
    </row>
    <row r="1686" spans="1:9" hidden="1">
      <c r="A1686" s="329"/>
      <c r="B1686" s="330"/>
      <c r="C1686" s="331"/>
      <c r="D1686" s="331" t="s">
        <v>412</v>
      </c>
      <c r="E1686" s="331"/>
      <c r="F1686" s="332"/>
      <c r="G1686" s="332"/>
      <c r="H1686" s="332"/>
      <c r="I1686" s="333">
        <f>SUM(I1669:I1685)</f>
        <v>8574785</v>
      </c>
    </row>
    <row r="1687" spans="1:9" hidden="1">
      <c r="A1687" s="329"/>
      <c r="B1687" s="330"/>
      <c r="C1687" s="331"/>
      <c r="D1687" s="331" t="s">
        <v>413</v>
      </c>
      <c r="E1687" s="331"/>
      <c r="F1687" s="332"/>
      <c r="G1687" s="332"/>
      <c r="H1687" s="332"/>
      <c r="I1687" s="333">
        <f>I1686*0.1</f>
        <v>857478.5</v>
      </c>
    </row>
    <row r="1688" spans="1:9" hidden="1">
      <c r="A1688" s="374"/>
      <c r="B1688" s="375"/>
      <c r="C1688" s="362"/>
      <c r="D1688" s="363" t="s">
        <v>414</v>
      </c>
      <c r="E1688" s="362"/>
      <c r="F1688" s="364"/>
      <c r="G1688" s="364"/>
      <c r="H1688" s="364"/>
      <c r="I1688" s="365">
        <f>ROUNDDOWN(I1687+I1686,0)</f>
        <v>9432263</v>
      </c>
    </row>
    <row r="1689" spans="1:9" ht="13.5" hidden="1" thickBot="1">
      <c r="A1689" s="377"/>
      <c r="B1689" s="378"/>
      <c r="C1689" s="368"/>
      <c r="D1689" s="369"/>
      <c r="E1689" s="368"/>
      <c r="F1689" s="370"/>
      <c r="G1689" s="370"/>
      <c r="H1689" s="370"/>
      <c r="I1689" s="371"/>
    </row>
    <row r="1690" spans="1:9" ht="14.25" hidden="1" thickTop="1" thickBot="1">
      <c r="A1690" s="309" t="s">
        <v>0</v>
      </c>
      <c r="B1690" s="380" t="s">
        <v>397</v>
      </c>
      <c r="C1690" s="310" t="s">
        <v>398</v>
      </c>
      <c r="D1690" s="310" t="s">
        <v>1</v>
      </c>
      <c r="E1690" s="311"/>
      <c r="F1690" s="381" t="s">
        <v>399</v>
      </c>
      <c r="G1690" s="381" t="s">
        <v>400</v>
      </c>
      <c r="H1690" s="381" t="s">
        <v>401</v>
      </c>
      <c r="I1690" s="382" t="s">
        <v>402</v>
      </c>
    </row>
    <row r="1691" spans="1:9" ht="13.5" hidden="1" thickTop="1">
      <c r="A1691" s="351">
        <v>84</v>
      </c>
      <c r="B1691" s="352" t="s">
        <v>580</v>
      </c>
      <c r="C1691" s="353"/>
      <c r="D1691" s="353"/>
      <c r="E1691" s="353"/>
      <c r="F1691" s="354"/>
      <c r="G1691" s="354"/>
      <c r="H1691" s="354"/>
      <c r="I1691" s="355"/>
    </row>
    <row r="1692" spans="1:9" hidden="1">
      <c r="A1692" s="334"/>
      <c r="B1692" s="335">
        <v>2E-3</v>
      </c>
      <c r="C1692" s="336" t="s">
        <v>511</v>
      </c>
      <c r="D1692" s="336" t="s">
        <v>3</v>
      </c>
      <c r="E1692" s="336"/>
      <c r="F1692" s="393">
        <f>[2]Hardas!$E$10</f>
        <v>100000</v>
      </c>
      <c r="G1692" s="338">
        <f>F1692*B1692</f>
        <v>200</v>
      </c>
      <c r="H1692" s="338"/>
      <c r="I1692" s="339"/>
    </row>
    <row r="1693" spans="1:9" hidden="1">
      <c r="A1693" s="334"/>
      <c r="B1693" s="335">
        <v>0.02</v>
      </c>
      <c r="C1693" s="336" t="s">
        <v>511</v>
      </c>
      <c r="D1693" s="336" t="s">
        <v>4</v>
      </c>
      <c r="E1693" s="336"/>
      <c r="F1693" s="338">
        <f>[2]Hardas!$E$11</f>
        <v>91000</v>
      </c>
      <c r="G1693" s="338">
        <f>F1693*B1693</f>
        <v>1820</v>
      </c>
      <c r="H1693" s="338"/>
      <c r="I1693" s="339"/>
    </row>
    <row r="1694" spans="1:9" hidden="1">
      <c r="A1694" s="334"/>
      <c r="B1694" s="335">
        <v>0.02</v>
      </c>
      <c r="C1694" s="336" t="s">
        <v>511</v>
      </c>
      <c r="D1694" s="336" t="s">
        <v>428</v>
      </c>
      <c r="E1694" s="336"/>
      <c r="F1694" s="338">
        <f>[2]Hardas!$E$14</f>
        <v>82000</v>
      </c>
      <c r="G1694" s="338">
        <f>F1694*B1694</f>
        <v>1640</v>
      </c>
      <c r="H1694" s="338"/>
      <c r="I1694" s="339"/>
    </row>
    <row r="1695" spans="1:9" hidden="1">
      <c r="A1695" s="334"/>
      <c r="B1695" s="335">
        <v>0.5</v>
      </c>
      <c r="C1695" s="336" t="s">
        <v>511</v>
      </c>
      <c r="D1695" s="336" t="s">
        <v>6</v>
      </c>
      <c r="E1695" s="336"/>
      <c r="F1695" s="338">
        <f>[2]Hardas!$E$21</f>
        <v>59000</v>
      </c>
      <c r="G1695" s="338">
        <f>F1695*B1695</f>
        <v>29500</v>
      </c>
      <c r="H1695" s="338"/>
      <c r="I1695" s="339"/>
    </row>
    <row r="1696" spans="1:9" hidden="1">
      <c r="A1696" s="329"/>
      <c r="B1696" s="330"/>
      <c r="C1696" s="331"/>
      <c r="D1696" s="331"/>
      <c r="E1696" s="331" t="s">
        <v>405</v>
      </c>
      <c r="F1696" s="332"/>
      <c r="G1696" s="332"/>
      <c r="H1696" s="332"/>
      <c r="I1696" s="333">
        <f>SUM(G1692:G1696)</f>
        <v>33160</v>
      </c>
    </row>
    <row r="1697" spans="1:9" hidden="1">
      <c r="A1697" s="334"/>
      <c r="B1697" s="335"/>
      <c r="C1697" s="336"/>
      <c r="D1697" s="336"/>
      <c r="E1697" s="336"/>
      <c r="F1697" s="338"/>
      <c r="G1697" s="338"/>
      <c r="H1697" s="338"/>
      <c r="I1697" s="339"/>
    </row>
    <row r="1698" spans="1:9" hidden="1">
      <c r="A1698" s="334"/>
      <c r="B1698" s="335">
        <v>1</v>
      </c>
      <c r="C1698" s="336" t="s">
        <v>433</v>
      </c>
      <c r="D1698" s="336" t="s">
        <v>581</v>
      </c>
      <c r="E1698" s="336"/>
      <c r="F1698" s="338">
        <f>[2]Hardas!$E$234</f>
        <v>123900</v>
      </c>
      <c r="G1698" s="338"/>
      <c r="H1698" s="338">
        <f>F1698*B1698</f>
        <v>123900</v>
      </c>
      <c r="I1698" s="339"/>
    </row>
    <row r="1699" spans="1:9" hidden="1">
      <c r="A1699" s="334"/>
      <c r="B1699" s="335">
        <v>7.0000000000000001E-3</v>
      </c>
      <c r="C1699" s="336" t="s">
        <v>406</v>
      </c>
      <c r="D1699" s="336" t="s">
        <v>432</v>
      </c>
      <c r="E1699" s="336"/>
      <c r="F1699" s="338">
        <f>[2]Hardas!$E$28</f>
        <v>115000</v>
      </c>
      <c r="G1699" s="338"/>
      <c r="H1699" s="338">
        <f>F1699*B1699</f>
        <v>805</v>
      </c>
      <c r="I1699" s="339"/>
    </row>
    <row r="1700" spans="1:9" hidden="1">
      <c r="A1700" s="334"/>
      <c r="B1700" s="335"/>
      <c r="C1700" s="331"/>
      <c r="D1700" s="331"/>
      <c r="E1700" s="331" t="s">
        <v>410</v>
      </c>
      <c r="F1700" s="332"/>
      <c r="G1700" s="332"/>
      <c r="H1700" s="332"/>
      <c r="I1700" s="333">
        <f>SUM(H1698:H1700)</f>
        <v>124705</v>
      </c>
    </row>
    <row r="1701" spans="1:9" hidden="1">
      <c r="A1701" s="334"/>
      <c r="B1701" s="335"/>
      <c r="C1701" s="336"/>
      <c r="D1701" s="336"/>
      <c r="E1701" s="336"/>
      <c r="F1701" s="338"/>
      <c r="G1701" s="338"/>
      <c r="H1701" s="338"/>
      <c r="I1701" s="339"/>
    </row>
    <row r="1702" spans="1:9" hidden="1">
      <c r="A1702" s="334"/>
      <c r="B1702" s="335">
        <v>1</v>
      </c>
      <c r="C1702" s="336" t="s">
        <v>446</v>
      </c>
      <c r="D1702" s="336" t="s">
        <v>9</v>
      </c>
      <c r="E1702" s="336"/>
      <c r="F1702" s="338">
        <f>I1701*0.05</f>
        <v>0</v>
      </c>
      <c r="G1702" s="338">
        <f>F1702*B1702</f>
        <v>0</v>
      </c>
      <c r="H1702" s="338"/>
      <c r="I1702" s="339"/>
    </row>
    <row r="1703" spans="1:9" hidden="1">
      <c r="A1703" s="334"/>
      <c r="B1703" s="335"/>
      <c r="C1703" s="336"/>
      <c r="D1703" s="336"/>
      <c r="E1703" s="336"/>
      <c r="F1703" s="338"/>
      <c r="G1703" s="338"/>
      <c r="H1703" s="338"/>
      <c r="I1703" s="339"/>
    </row>
    <row r="1704" spans="1:9" hidden="1">
      <c r="A1704" s="329"/>
      <c r="B1704" s="330"/>
      <c r="C1704" s="331"/>
      <c r="D1704" s="331"/>
      <c r="E1704" s="331" t="s">
        <v>411</v>
      </c>
      <c r="F1704" s="332"/>
      <c r="G1704" s="332"/>
      <c r="H1704" s="332"/>
      <c r="I1704" s="333">
        <f>SUM(G1702:G1704)</f>
        <v>0</v>
      </c>
    </row>
    <row r="1705" spans="1:9" hidden="1">
      <c r="A1705" s="329"/>
      <c r="B1705" s="330"/>
      <c r="C1705" s="331"/>
      <c r="D1705" s="331" t="s">
        <v>412</v>
      </c>
      <c r="E1705" s="331"/>
      <c r="F1705" s="332"/>
      <c r="G1705" s="332"/>
      <c r="H1705" s="332"/>
      <c r="I1705" s="333">
        <f>SUM(I1692:I1704)</f>
        <v>157865</v>
      </c>
    </row>
    <row r="1706" spans="1:9" hidden="1">
      <c r="A1706" s="329"/>
      <c r="B1706" s="330"/>
      <c r="C1706" s="331"/>
      <c r="D1706" s="331" t="s">
        <v>413</v>
      </c>
      <c r="E1706" s="331"/>
      <c r="F1706" s="332"/>
      <c r="G1706" s="332"/>
      <c r="H1706" s="332"/>
      <c r="I1706" s="333">
        <f>I1705*0.1</f>
        <v>15786.5</v>
      </c>
    </row>
    <row r="1707" spans="1:9" hidden="1">
      <c r="A1707" s="374"/>
      <c r="B1707" s="375"/>
      <c r="C1707" s="362"/>
      <c r="D1707" s="363" t="s">
        <v>414</v>
      </c>
      <c r="E1707" s="362"/>
      <c r="F1707" s="364"/>
      <c r="G1707" s="364"/>
      <c r="H1707" s="364"/>
      <c r="I1707" s="365">
        <f>ROUNDDOWN(I1706+I1705,0)</f>
        <v>173651</v>
      </c>
    </row>
    <row r="1708" spans="1:9" ht="13.5" hidden="1" thickBot="1">
      <c r="A1708" s="377"/>
      <c r="B1708" s="378"/>
      <c r="C1708" s="368"/>
      <c r="D1708" s="369"/>
      <c r="E1708" s="368"/>
      <c r="F1708" s="370"/>
      <c r="G1708" s="370"/>
      <c r="H1708" s="370"/>
      <c r="I1708" s="371"/>
    </row>
    <row r="1709" spans="1:9" ht="14.25" hidden="1" thickTop="1" thickBot="1">
      <c r="A1709" s="309" t="s">
        <v>0</v>
      </c>
      <c r="B1709" s="380" t="s">
        <v>397</v>
      </c>
      <c r="C1709" s="310" t="s">
        <v>398</v>
      </c>
      <c r="D1709" s="310" t="s">
        <v>1</v>
      </c>
      <c r="E1709" s="311"/>
      <c r="F1709" s="381" t="s">
        <v>399</v>
      </c>
      <c r="G1709" s="381" t="s">
        <v>400</v>
      </c>
      <c r="H1709" s="381" t="s">
        <v>401</v>
      </c>
      <c r="I1709" s="382" t="s">
        <v>402</v>
      </c>
    </row>
    <row r="1710" spans="1:9" ht="13.5" hidden="1" thickTop="1">
      <c r="A1710" s="351">
        <v>85</v>
      </c>
      <c r="B1710" s="352" t="s">
        <v>46</v>
      </c>
      <c r="C1710" s="353"/>
      <c r="D1710" s="353"/>
      <c r="E1710" s="353"/>
      <c r="F1710" s="354"/>
      <c r="G1710" s="354"/>
      <c r="H1710" s="354"/>
      <c r="I1710" s="355"/>
    </row>
    <row r="1711" spans="1:9" hidden="1">
      <c r="A1711" s="334"/>
      <c r="B1711" s="335">
        <v>1.4999999999999999E-2</v>
      </c>
      <c r="C1711" s="336" t="s">
        <v>511</v>
      </c>
      <c r="D1711" s="336" t="s">
        <v>3</v>
      </c>
      <c r="E1711" s="336"/>
      <c r="F1711" s="393">
        <f>[2]Hardas!$E$10</f>
        <v>100000</v>
      </c>
      <c r="G1711" s="338">
        <f>F1711*B1711</f>
        <v>1500</v>
      </c>
      <c r="H1711" s="338"/>
      <c r="I1711" s="339"/>
    </row>
    <row r="1712" spans="1:9" hidden="1">
      <c r="A1712" s="334"/>
      <c r="B1712" s="335">
        <v>0.01</v>
      </c>
      <c r="C1712" s="336" t="s">
        <v>511</v>
      </c>
      <c r="D1712" s="336" t="s">
        <v>4</v>
      </c>
      <c r="E1712" s="336"/>
      <c r="F1712" s="338">
        <f>[2]Hardas!$E$11</f>
        <v>91000</v>
      </c>
      <c r="G1712" s="338">
        <f>F1712*B1712</f>
        <v>910</v>
      </c>
      <c r="H1712" s="338"/>
      <c r="I1712" s="339"/>
    </row>
    <row r="1713" spans="1:9" hidden="1">
      <c r="A1713" s="334"/>
      <c r="B1713" s="335">
        <v>0.1</v>
      </c>
      <c r="C1713" s="336" t="s">
        <v>511</v>
      </c>
      <c r="D1713" s="336" t="s">
        <v>428</v>
      </c>
      <c r="E1713" s="336"/>
      <c r="F1713" s="338">
        <f>[2]Hardas!$E$14</f>
        <v>82000</v>
      </c>
      <c r="G1713" s="338">
        <f>F1713*B1713</f>
        <v>8200</v>
      </c>
      <c r="H1713" s="338"/>
      <c r="I1713" s="339"/>
    </row>
    <row r="1714" spans="1:9" hidden="1">
      <c r="A1714" s="334"/>
      <c r="B1714" s="335">
        <v>0.3</v>
      </c>
      <c r="C1714" s="336" t="s">
        <v>511</v>
      </c>
      <c r="D1714" s="336" t="s">
        <v>6</v>
      </c>
      <c r="E1714" s="336"/>
      <c r="F1714" s="338">
        <f>[2]Hardas!$E$21</f>
        <v>59000</v>
      </c>
      <c r="G1714" s="338">
        <f>F1714*B1714</f>
        <v>17700</v>
      </c>
      <c r="H1714" s="338"/>
      <c r="I1714" s="339"/>
    </row>
    <row r="1715" spans="1:9" hidden="1">
      <c r="A1715" s="329"/>
      <c r="B1715" s="330"/>
      <c r="C1715" s="331"/>
      <c r="D1715" s="331"/>
      <c r="E1715" s="331" t="s">
        <v>405</v>
      </c>
      <c r="F1715" s="332"/>
      <c r="G1715" s="332"/>
      <c r="H1715" s="332"/>
      <c r="I1715" s="333">
        <f>SUM(G1711:G1715)</f>
        <v>28310</v>
      </c>
    </row>
    <row r="1716" spans="1:9" hidden="1">
      <c r="A1716" s="334"/>
      <c r="B1716" s="335"/>
      <c r="C1716" s="336"/>
      <c r="D1716" s="336"/>
      <c r="E1716" s="336"/>
      <c r="F1716" s="338"/>
      <c r="G1716" s="338"/>
      <c r="H1716" s="338"/>
      <c r="I1716" s="339"/>
    </row>
    <row r="1717" spans="1:9" hidden="1">
      <c r="A1717" s="334"/>
      <c r="B1717" s="335">
        <v>1.34</v>
      </c>
      <c r="C1717" s="336" t="s">
        <v>453</v>
      </c>
      <c r="D1717" s="336" t="s">
        <v>548</v>
      </c>
      <c r="E1717" s="336"/>
      <c r="F1717" s="338">
        <f>[2]Hardas!$E$102</f>
        <v>49090</v>
      </c>
      <c r="G1717" s="338"/>
      <c r="H1717" s="338">
        <f>F1717*B1717</f>
        <v>65780.600000000006</v>
      </c>
      <c r="I1717" s="339"/>
    </row>
    <row r="1718" spans="1:9" hidden="1">
      <c r="A1718" s="334"/>
      <c r="B1718" s="335"/>
      <c r="C1718" s="331"/>
      <c r="D1718" s="331"/>
      <c r="E1718" s="331" t="s">
        <v>410</v>
      </c>
      <c r="F1718" s="332"/>
      <c r="G1718" s="332"/>
      <c r="H1718" s="332"/>
      <c r="I1718" s="333">
        <f>SUM(H1717:H1718)</f>
        <v>65780.600000000006</v>
      </c>
    </row>
    <row r="1719" spans="1:9" hidden="1">
      <c r="A1719" s="334"/>
      <c r="B1719" s="335"/>
      <c r="C1719" s="336"/>
      <c r="D1719" s="336"/>
      <c r="E1719" s="336"/>
      <c r="F1719" s="338"/>
      <c r="G1719" s="338"/>
      <c r="H1719" s="338"/>
      <c r="I1719" s="339"/>
    </row>
    <row r="1720" spans="1:9" hidden="1">
      <c r="A1720" s="334"/>
      <c r="B1720" s="335">
        <v>1</v>
      </c>
      <c r="C1720" s="336" t="s">
        <v>446</v>
      </c>
      <c r="D1720" s="336" t="s">
        <v>9</v>
      </c>
      <c r="E1720" s="336"/>
      <c r="F1720" s="338">
        <v>0</v>
      </c>
      <c r="G1720" s="338">
        <f>F1720*B1720</f>
        <v>0</v>
      </c>
      <c r="H1720" s="338"/>
      <c r="I1720" s="339"/>
    </row>
    <row r="1721" spans="1:9" hidden="1">
      <c r="A1721" s="334"/>
      <c r="B1721" s="335"/>
      <c r="C1721" s="336"/>
      <c r="D1721" s="336"/>
      <c r="E1721" s="336"/>
      <c r="F1721" s="338"/>
      <c r="G1721" s="338"/>
      <c r="H1721" s="338"/>
      <c r="I1721" s="339"/>
    </row>
    <row r="1722" spans="1:9" hidden="1">
      <c r="A1722" s="329"/>
      <c r="B1722" s="330"/>
      <c r="C1722" s="331"/>
      <c r="D1722" s="331"/>
      <c r="E1722" s="331" t="s">
        <v>411</v>
      </c>
      <c r="F1722" s="332"/>
      <c r="G1722" s="332"/>
      <c r="H1722" s="332"/>
      <c r="I1722" s="333">
        <f>SUM(G1720:G1722)</f>
        <v>0</v>
      </c>
    </row>
    <row r="1723" spans="1:9" hidden="1">
      <c r="A1723" s="329"/>
      <c r="B1723" s="330"/>
      <c r="C1723" s="331"/>
      <c r="D1723" s="331" t="s">
        <v>412</v>
      </c>
      <c r="E1723" s="331"/>
      <c r="F1723" s="332"/>
      <c r="G1723" s="332"/>
      <c r="H1723" s="332"/>
      <c r="I1723" s="333">
        <f>SUM(I1711:I1722)</f>
        <v>94090.6</v>
      </c>
    </row>
    <row r="1724" spans="1:9" hidden="1">
      <c r="A1724" s="329"/>
      <c r="B1724" s="330"/>
      <c r="C1724" s="331"/>
      <c r="D1724" s="331" t="s">
        <v>413</v>
      </c>
      <c r="E1724" s="331"/>
      <c r="F1724" s="332"/>
      <c r="G1724" s="332"/>
      <c r="H1724" s="332"/>
      <c r="I1724" s="333">
        <f>I1723*0.1</f>
        <v>9409.0600000000013</v>
      </c>
    </row>
    <row r="1725" spans="1:9" hidden="1">
      <c r="A1725" s="329"/>
      <c r="B1725" s="330"/>
      <c r="C1725" s="357"/>
      <c r="D1725" s="331" t="s">
        <v>414</v>
      </c>
      <c r="E1725" s="357"/>
      <c r="F1725" s="358"/>
      <c r="G1725" s="358"/>
      <c r="H1725" s="358"/>
      <c r="I1725" s="333">
        <f>ROUNDDOWN(I1724+I1723,0)</f>
        <v>103499</v>
      </c>
    </row>
    <row r="1726" spans="1:9" ht="13.5" thickBot="1">
      <c r="A1726" s="394"/>
      <c r="B1726" s="395"/>
      <c r="C1726" s="395"/>
      <c r="D1726" s="395"/>
      <c r="E1726" s="395"/>
      <c r="F1726" s="396"/>
      <c r="G1726" s="396"/>
      <c r="H1726" s="396"/>
      <c r="I1726" s="397"/>
    </row>
    <row r="1727" spans="1:9" ht="13.5" thickTop="1"/>
  </sheetData>
  <mergeCells count="2">
    <mergeCell ref="A2:I2"/>
    <mergeCell ref="A3:I3"/>
  </mergeCells>
  <pageMargins left="0.7" right="0.7" top="0.75" bottom="0.75" header="0.3" footer="0.3"/>
  <pageSetup scale="69" orientation="portrait" r:id="rId1"/>
  <rowBreaks count="2" manualBreakCount="2">
    <brk id="229" max="8" man="1"/>
    <brk id="2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379"/>
  <sheetViews>
    <sheetView view="pageBreakPreview" topLeftCell="A346" zoomScale="25" zoomScaleSheetLayoutView="25" workbookViewId="0">
      <selection activeCell="R182" sqref="R182"/>
    </sheetView>
  </sheetViews>
  <sheetFormatPr defaultRowHeight="15"/>
  <cols>
    <col min="1" max="1" width="3.28515625" customWidth="1"/>
    <col min="2" max="2" width="8.42578125" customWidth="1"/>
    <col min="3" max="3" width="9.140625" customWidth="1"/>
    <col min="4" max="4" width="14.28515625" customWidth="1"/>
    <col min="5" max="5" width="22.28515625" customWidth="1"/>
    <col min="7" max="7" width="16.85546875" customWidth="1"/>
    <col min="8" max="8" width="0.5703125" customWidth="1"/>
    <col min="10" max="10" width="18.85546875" customWidth="1"/>
    <col min="12" max="12" width="15.28515625" customWidth="1"/>
  </cols>
  <sheetData>
    <row r="1" spans="1:12" ht="20.25">
      <c r="A1" s="1212" t="s">
        <v>369</v>
      </c>
      <c r="B1" s="1212"/>
      <c r="C1" s="1212"/>
      <c r="D1" s="1212"/>
      <c r="E1" s="1212"/>
      <c r="F1" s="1212"/>
      <c r="G1" s="1212"/>
      <c r="H1" s="1212"/>
      <c r="I1" s="1212"/>
      <c r="J1" s="1212"/>
    </row>
    <row r="2" spans="1:12" ht="15.75" customHeight="1">
      <c r="A2" s="1213"/>
      <c r="B2" s="1214" t="s">
        <v>1048</v>
      </c>
      <c r="C2" s="1215"/>
      <c r="D2" s="1215"/>
      <c r="E2" s="1215"/>
      <c r="F2" s="1215"/>
      <c r="G2" s="1215"/>
      <c r="H2" s="1215"/>
      <c r="I2" s="1215"/>
      <c r="J2" s="1216"/>
    </row>
    <row r="3" spans="1:12" ht="15.75" customHeight="1" thickBot="1">
      <c r="A3" s="1217"/>
      <c r="B3" s="1218"/>
      <c r="C3" s="1219"/>
      <c r="D3" s="1220"/>
      <c r="E3" s="1220"/>
      <c r="F3" s="1220"/>
      <c r="G3" s="1220"/>
      <c r="H3" s="1220"/>
      <c r="I3" s="1220"/>
      <c r="J3" s="1221"/>
    </row>
    <row r="4" spans="1:12" ht="20.25">
      <c r="A4" s="1217"/>
      <c r="B4" s="1222" t="s">
        <v>0</v>
      </c>
      <c r="C4" s="1223" t="s">
        <v>1305</v>
      </c>
      <c r="D4" s="1224"/>
      <c r="E4" s="1224"/>
      <c r="F4" s="1224"/>
      <c r="G4" s="1224"/>
      <c r="H4" s="1225"/>
      <c r="I4" s="1226" t="s">
        <v>334</v>
      </c>
      <c r="J4" s="1226" t="s">
        <v>1306</v>
      </c>
    </row>
    <row r="5" spans="1:12" ht="15.75" customHeight="1" thickBot="1">
      <c r="A5" s="1217"/>
      <c r="B5" s="1227"/>
      <c r="C5" s="1228"/>
      <c r="D5" s="1229"/>
      <c r="E5" s="1229"/>
      <c r="F5" s="1229"/>
      <c r="G5" s="1229"/>
      <c r="H5" s="1230"/>
      <c r="I5" s="1231"/>
      <c r="J5" s="1231"/>
    </row>
    <row r="6" spans="1:12" ht="15.75" customHeight="1" thickBot="1">
      <c r="A6" s="1217"/>
      <c r="B6" s="1232" t="s">
        <v>2</v>
      </c>
      <c r="C6" s="1233"/>
      <c r="D6" s="1234" t="s">
        <v>1307</v>
      </c>
      <c r="E6" s="1234"/>
      <c r="F6" s="1234"/>
      <c r="G6" s="1234"/>
      <c r="H6" s="1235"/>
      <c r="I6" s="1236"/>
      <c r="J6" s="1236"/>
    </row>
    <row r="7" spans="1:12" ht="20.25">
      <c r="A7" s="1217"/>
      <c r="B7" s="1237"/>
      <c r="C7" s="1219"/>
      <c r="D7" s="1238" t="s">
        <v>955</v>
      </c>
      <c r="E7" s="1220"/>
      <c r="F7" s="1220"/>
      <c r="G7" s="1220"/>
      <c r="H7" s="1239"/>
      <c r="I7" s="1240"/>
      <c r="J7" s="1240"/>
    </row>
    <row r="8" spans="1:12" ht="20.25">
      <c r="A8" s="1220"/>
      <c r="B8" s="1237">
        <v>1</v>
      </c>
      <c r="C8" s="1219"/>
      <c r="D8" s="1220" t="s">
        <v>1308</v>
      </c>
      <c r="E8" s="1220"/>
      <c r="F8" s="1220"/>
      <c r="G8" s="1220"/>
      <c r="H8" s="1239"/>
      <c r="I8" s="1240"/>
      <c r="J8" s="1240"/>
    </row>
    <row r="9" spans="1:12" ht="20.25">
      <c r="A9" s="1220"/>
      <c r="B9" s="1237"/>
      <c r="C9" s="1219"/>
      <c r="D9" s="1220" t="s">
        <v>374</v>
      </c>
      <c r="E9" s="1220" t="s">
        <v>1309</v>
      </c>
      <c r="F9" s="1220"/>
      <c r="G9" s="1220"/>
      <c r="H9" s="1239"/>
      <c r="I9" s="1240" t="s">
        <v>406</v>
      </c>
      <c r="J9" s="1241">
        <f>'[7]KOLOM Print'!I11*2</f>
        <v>97.92</v>
      </c>
    </row>
    <row r="10" spans="1:12" ht="20.25">
      <c r="A10" s="1220"/>
      <c r="B10" s="1237"/>
      <c r="C10" s="1219"/>
      <c r="D10" s="1220" t="s">
        <v>376</v>
      </c>
      <c r="E10" s="1220" t="s">
        <v>1310</v>
      </c>
      <c r="F10" s="1220"/>
      <c r="G10" s="1220"/>
      <c r="H10" s="1239"/>
      <c r="I10" s="1240"/>
      <c r="J10" s="1240"/>
    </row>
    <row r="11" spans="1:12" ht="20.25">
      <c r="A11" s="1220"/>
      <c r="B11" s="1237"/>
      <c r="C11" s="1219"/>
      <c r="D11" s="1220"/>
      <c r="E11" s="1220" t="s">
        <v>1311</v>
      </c>
      <c r="F11" s="1220"/>
      <c r="G11" s="1220"/>
      <c r="H11" s="1239"/>
      <c r="I11" s="1240" t="s">
        <v>1312</v>
      </c>
      <c r="J11" s="1241">
        <f>'[7]KOLOM Print'!AP11*2</f>
        <v>14309.749999999998</v>
      </c>
    </row>
    <row r="12" spans="1:12" ht="20.25">
      <c r="A12" s="1220"/>
      <c r="B12" s="1237"/>
      <c r="C12" s="1219"/>
      <c r="D12" s="1220"/>
      <c r="E12" s="1220" t="s">
        <v>1313</v>
      </c>
      <c r="F12" s="1220"/>
      <c r="G12" s="1220"/>
      <c r="H12" s="1239"/>
      <c r="I12" s="1240" t="s">
        <v>1312</v>
      </c>
      <c r="J12" s="1241">
        <f>'[7]KOLOM Print'!AR11+'[7]KOLOM Print'!AS11+'[7]KOLOM Print'!AT11*2</f>
        <v>1873.2362219999995</v>
      </c>
    </row>
    <row r="13" spans="1:12" ht="20.25">
      <c r="A13" s="1220"/>
      <c r="B13" s="1237"/>
      <c r="C13" s="1219"/>
      <c r="D13" s="1220" t="s">
        <v>379</v>
      </c>
      <c r="E13" s="1220" t="s">
        <v>1314</v>
      </c>
      <c r="F13" s="1220"/>
      <c r="G13" s="1220"/>
      <c r="H13" s="1239"/>
      <c r="I13" s="1240" t="s">
        <v>453</v>
      </c>
      <c r="J13" s="1241">
        <f>'[7]KOLOM Print'!J11*2</f>
        <v>391.68</v>
      </c>
      <c r="K13" s="487"/>
      <c r="L13" s="487"/>
    </row>
    <row r="14" spans="1:12" ht="20.25">
      <c r="A14" s="1220"/>
      <c r="B14" s="1237"/>
      <c r="C14" s="1219"/>
      <c r="D14" s="1220"/>
      <c r="E14" s="1220"/>
      <c r="F14" s="1220"/>
      <c r="G14" s="1220"/>
      <c r="H14" s="1239"/>
      <c r="I14" s="1240"/>
      <c r="J14" s="1240"/>
      <c r="K14" s="126"/>
      <c r="L14" s="487"/>
    </row>
    <row r="15" spans="1:12" ht="20.25">
      <c r="A15" s="1220"/>
      <c r="B15" s="1237">
        <v>2</v>
      </c>
      <c r="C15" s="1219"/>
      <c r="D15" s="1220" t="s">
        <v>1315</v>
      </c>
      <c r="E15" s="1220"/>
      <c r="F15" s="1220"/>
      <c r="G15" s="1220"/>
      <c r="H15" s="1239"/>
      <c r="I15" s="1240"/>
      <c r="J15" s="1240"/>
      <c r="K15" s="126"/>
      <c r="L15" s="487"/>
    </row>
    <row r="16" spans="1:12" ht="20.25">
      <c r="A16" s="1220"/>
      <c r="B16" s="1237"/>
      <c r="C16" s="1219"/>
      <c r="D16" s="1220" t="s">
        <v>374</v>
      </c>
      <c r="E16" s="1220" t="s">
        <v>1309</v>
      </c>
      <c r="F16" s="1220"/>
      <c r="G16" s="1220"/>
      <c r="H16" s="1239"/>
      <c r="I16" s="1240" t="s">
        <v>406</v>
      </c>
      <c r="J16" s="1241">
        <f>'[7]KOLOM Print'!I12*2</f>
        <v>27.878400000000003</v>
      </c>
      <c r="K16" s="126"/>
      <c r="L16" s="487"/>
    </row>
    <row r="17" spans="1:12" ht="20.25">
      <c r="A17" s="1220"/>
      <c r="B17" s="1237"/>
      <c r="C17" s="1219"/>
      <c r="D17" s="1220" t="s">
        <v>376</v>
      </c>
      <c r="E17" s="1220" t="s">
        <v>1310</v>
      </c>
      <c r="F17" s="1220"/>
      <c r="G17" s="1220"/>
      <c r="H17" s="1239"/>
      <c r="I17" s="1240"/>
      <c r="J17" s="1240"/>
      <c r="K17" s="126"/>
      <c r="L17" s="487"/>
    </row>
    <row r="18" spans="1:12" ht="20.25">
      <c r="A18" s="1220"/>
      <c r="B18" s="1237"/>
      <c r="C18" s="1219"/>
      <c r="D18" s="1220"/>
      <c r="E18" s="1220" t="s">
        <v>1311</v>
      </c>
      <c r="F18" s="1220"/>
      <c r="G18" s="1220"/>
      <c r="H18" s="1239"/>
      <c r="I18" s="1240" t="s">
        <v>1312</v>
      </c>
      <c r="J18" s="1241">
        <f>'[7]KOLOM Print'!AP12*2</f>
        <v>3366.9999999999995</v>
      </c>
      <c r="K18" s="126"/>
      <c r="L18" s="487"/>
    </row>
    <row r="19" spans="1:12" ht="20.25">
      <c r="A19" s="1220"/>
      <c r="B19" s="1237"/>
      <c r="C19" s="1219"/>
      <c r="D19" s="1220"/>
      <c r="E19" s="1220" t="s">
        <v>1313</v>
      </c>
      <c r="F19" s="1220"/>
      <c r="G19" s="1220"/>
      <c r="H19" s="1239"/>
      <c r="I19" s="1240" t="s">
        <v>1312</v>
      </c>
      <c r="J19" s="1241">
        <f>'[7]KOLOM Print'!AR28+'[7]KOLOM Print'!AS28+'[7]KOLOM Print'!AT28*2</f>
        <v>485.78306399999991</v>
      </c>
      <c r="K19" s="126"/>
      <c r="L19" s="487"/>
    </row>
    <row r="20" spans="1:12" ht="20.25">
      <c r="A20" s="1220"/>
      <c r="B20" s="1237"/>
      <c r="C20" s="1219"/>
      <c r="D20" s="1220" t="s">
        <v>379</v>
      </c>
      <c r="E20" s="1220" t="s">
        <v>1314</v>
      </c>
      <c r="F20" s="1220"/>
      <c r="G20" s="1220"/>
      <c r="H20" s="1239"/>
      <c r="I20" s="1240" t="s">
        <v>453</v>
      </c>
      <c r="J20" s="1241">
        <f>'[7]KOLOM Print'!J12+'[7]KOLOM Print'!J28+'[7]KOLOM Print'!J34+'[7]KOLOM Print'!J41+'[7]KOLOM Print'!J47+'[7]KOLOM Print'!J53*2</f>
        <v>161.28</v>
      </c>
    </row>
    <row r="21" spans="1:12" ht="20.25">
      <c r="A21" s="1220"/>
      <c r="B21" s="1237"/>
      <c r="C21" s="1219"/>
      <c r="D21" s="1220"/>
      <c r="E21" s="1220"/>
      <c r="F21" s="1220"/>
      <c r="G21" s="1220"/>
      <c r="H21" s="1239"/>
      <c r="I21" s="1240"/>
      <c r="J21" s="1240"/>
    </row>
    <row r="22" spans="1:12" ht="20.25">
      <c r="A22" s="1220"/>
      <c r="B22" s="1237">
        <v>3</v>
      </c>
      <c r="C22" s="1219"/>
      <c r="D22" s="1220" t="s">
        <v>1316</v>
      </c>
      <c r="E22" s="1220"/>
      <c r="F22" s="1220"/>
      <c r="G22" s="1220"/>
      <c r="H22" s="1239"/>
      <c r="I22" s="1240"/>
      <c r="J22" s="1240"/>
    </row>
    <row r="23" spans="1:12" ht="20.25">
      <c r="A23" s="1220"/>
      <c r="B23" s="1237"/>
      <c r="C23" s="1219"/>
      <c r="D23" s="1220" t="s">
        <v>374</v>
      </c>
      <c r="E23" s="1220" t="s">
        <v>1309</v>
      </c>
      <c r="F23" s="1220"/>
      <c r="G23" s="1220"/>
      <c r="H23" s="1239"/>
      <c r="I23" s="1240" t="s">
        <v>406</v>
      </c>
      <c r="J23" s="1241">
        <f>'[7]KOLOM Print'!I13*2</f>
        <v>31.68</v>
      </c>
    </row>
    <row r="24" spans="1:12" ht="20.25">
      <c r="A24" s="1220"/>
      <c r="B24" s="1237"/>
      <c r="C24" s="1219"/>
      <c r="D24" s="1220" t="s">
        <v>376</v>
      </c>
      <c r="E24" s="1220" t="s">
        <v>1310</v>
      </c>
      <c r="F24" s="1220"/>
      <c r="G24" s="1220"/>
      <c r="H24" s="1239"/>
      <c r="I24" s="1240"/>
      <c r="J24" s="1240"/>
    </row>
    <row r="25" spans="1:12" ht="20.25">
      <c r="A25" s="1220"/>
      <c r="B25" s="1237"/>
      <c r="C25" s="1219"/>
      <c r="D25" s="1220"/>
      <c r="E25" s="1220" t="s">
        <v>1317</v>
      </c>
      <c r="F25" s="1220"/>
      <c r="G25" s="1220"/>
      <c r="H25" s="1239"/>
      <c r="I25" s="1240" t="s">
        <v>1312</v>
      </c>
      <c r="J25" s="1241">
        <f>'[7]KOLOM Print'!AP13*2</f>
        <v>3327.4757119999999</v>
      </c>
    </row>
    <row r="26" spans="1:12" ht="20.25">
      <c r="A26" s="1220"/>
      <c r="B26" s="1237"/>
      <c r="C26" s="1219"/>
      <c r="D26" s="1220"/>
      <c r="E26" s="1220" t="s">
        <v>1313</v>
      </c>
      <c r="F26" s="1220"/>
      <c r="G26" s="1220"/>
      <c r="H26" s="1239"/>
      <c r="I26" s="1240" t="s">
        <v>1312</v>
      </c>
      <c r="J26" s="1241">
        <f>'[7]KOLOM Print'!AR13*2</f>
        <v>870.2115839999999</v>
      </c>
    </row>
    <row r="27" spans="1:12" ht="20.25">
      <c r="A27" s="1220"/>
      <c r="B27" s="1237"/>
      <c r="C27" s="1219"/>
      <c r="D27" s="1220" t="s">
        <v>379</v>
      </c>
      <c r="E27" s="1220" t="s">
        <v>1314</v>
      </c>
      <c r="F27" s="1220"/>
      <c r="G27" s="1220"/>
      <c r="H27" s="1239"/>
      <c r="I27" s="1240" t="s">
        <v>453</v>
      </c>
      <c r="J27" s="1241">
        <f>'[7]KOLOM Print'!J13*2</f>
        <v>253.44</v>
      </c>
    </row>
    <row r="28" spans="1:12" ht="20.25">
      <c r="A28" s="1220"/>
      <c r="B28" s="1237"/>
      <c r="C28" s="1219"/>
      <c r="D28" s="1220"/>
      <c r="E28" s="1220"/>
      <c r="F28" s="1220"/>
      <c r="G28" s="1220"/>
      <c r="H28" s="1239"/>
      <c r="I28" s="1240"/>
      <c r="J28" s="1240"/>
    </row>
    <row r="29" spans="1:12" ht="20.25">
      <c r="A29" s="1220"/>
      <c r="B29" s="1237">
        <v>4</v>
      </c>
      <c r="C29" s="1219"/>
      <c r="D29" s="1220" t="s">
        <v>1318</v>
      </c>
      <c r="E29" s="1220"/>
      <c r="F29" s="1220"/>
      <c r="G29" s="1220"/>
      <c r="H29" s="1239"/>
      <c r="I29" s="1240"/>
      <c r="J29" s="1240"/>
    </row>
    <row r="30" spans="1:12" ht="20.25">
      <c r="A30" s="1220"/>
      <c r="B30" s="1237"/>
      <c r="C30" s="1219"/>
      <c r="D30" s="1220" t="s">
        <v>374</v>
      </c>
      <c r="E30" s="1220" t="s">
        <v>1309</v>
      </c>
      <c r="F30" s="1220"/>
      <c r="G30" s="1220"/>
      <c r="H30" s="1239"/>
      <c r="I30" s="1240" t="s">
        <v>406</v>
      </c>
      <c r="J30" s="1241">
        <f>'[7]KOLOM Print'!I14*2</f>
        <v>23.961600000000001</v>
      </c>
    </row>
    <row r="31" spans="1:12" ht="20.25">
      <c r="A31" s="1220"/>
      <c r="B31" s="1237"/>
      <c r="C31" s="1219"/>
      <c r="D31" s="1220" t="s">
        <v>376</v>
      </c>
      <c r="E31" s="1220" t="s">
        <v>1310</v>
      </c>
      <c r="F31" s="1220"/>
      <c r="G31" s="1220"/>
      <c r="H31" s="1239"/>
      <c r="I31" s="1240"/>
      <c r="J31" s="1240"/>
    </row>
    <row r="32" spans="1:12" ht="20.25">
      <c r="A32" s="1220"/>
      <c r="B32" s="1237"/>
      <c r="C32" s="1219"/>
      <c r="D32" s="1220"/>
      <c r="E32" s="1220" t="s">
        <v>1317</v>
      </c>
      <c r="F32" s="1220"/>
      <c r="G32" s="1220"/>
      <c r="H32" s="1239"/>
      <c r="I32" s="1240" t="s">
        <v>1312</v>
      </c>
      <c r="J32" s="1241">
        <f>'[7]KOLOM Print'!AP14*2</f>
        <v>2621.6475306666666</v>
      </c>
    </row>
    <row r="33" spans="1:12" ht="20.25">
      <c r="A33" s="1220"/>
      <c r="B33" s="1237"/>
      <c r="C33" s="1219"/>
      <c r="D33" s="1220"/>
      <c r="E33" s="1220" t="s">
        <v>1313</v>
      </c>
      <c r="F33" s="1220"/>
      <c r="G33" s="1220"/>
      <c r="H33" s="1239"/>
      <c r="I33" s="1240" t="s">
        <v>1312</v>
      </c>
      <c r="J33" s="1241">
        <f>'[7]KOLOM Print'!AR14*2</f>
        <v>806.78707199999997</v>
      </c>
    </row>
    <row r="34" spans="1:12" ht="20.25">
      <c r="A34" s="1220"/>
      <c r="B34" s="1237"/>
      <c r="C34" s="1219"/>
      <c r="D34" s="1220" t="s">
        <v>379</v>
      </c>
      <c r="E34" s="1220" t="s">
        <v>1314</v>
      </c>
      <c r="F34" s="1220"/>
      <c r="G34" s="1220"/>
      <c r="H34" s="1239"/>
      <c r="I34" s="1240" t="s">
        <v>453</v>
      </c>
      <c r="J34" s="1241">
        <f>'[7]KOLOM Print'!J14*2</f>
        <v>239.61599999999999</v>
      </c>
    </row>
    <row r="35" spans="1:12" ht="20.25">
      <c r="A35" s="1220"/>
      <c r="B35" s="1237"/>
      <c r="C35" s="1219"/>
      <c r="D35" s="1220"/>
      <c r="E35" s="1220"/>
      <c r="F35" s="1220"/>
      <c r="G35" s="1220"/>
      <c r="H35" s="1239"/>
      <c r="I35" s="1240"/>
      <c r="J35" s="1240"/>
      <c r="L35" s="143">
        <f>[4]K1!$AF$21+[4]K1!$AF$22</f>
        <v>887.29324498327492</v>
      </c>
    </row>
    <row r="36" spans="1:12" ht="20.25">
      <c r="A36" s="1220"/>
      <c r="B36" s="1237">
        <v>5</v>
      </c>
      <c r="C36" s="1219"/>
      <c r="D36" s="1220" t="s">
        <v>1319</v>
      </c>
      <c r="E36" s="1220"/>
      <c r="F36" s="1220"/>
      <c r="G36" s="1220"/>
      <c r="H36" s="1239"/>
      <c r="I36" s="1240"/>
      <c r="J36" s="1240"/>
      <c r="L36" s="143">
        <f>[4]K2A!$AH$28+[4]K2A3!$AH$28+'[4]K2A1, K2A2 &amp; K3S'!$AH$21+'[4]K2 - K2G &amp; K3'!$AH$21+[4]K1!$AH$21</f>
        <v>32243.059884959988</v>
      </c>
    </row>
    <row r="37" spans="1:12" ht="20.25">
      <c r="A37" s="1220"/>
      <c r="B37" s="1237"/>
      <c r="C37" s="1219"/>
      <c r="D37" s="1220" t="s">
        <v>374</v>
      </c>
      <c r="E37" s="1220" t="s">
        <v>1309</v>
      </c>
      <c r="F37" s="1220"/>
      <c r="G37" s="1220"/>
      <c r="H37" s="1239"/>
      <c r="I37" s="1240" t="s">
        <v>406</v>
      </c>
      <c r="J37" s="1241">
        <f>'[7]KOLOM Print'!J15*2</f>
        <v>92.16</v>
      </c>
      <c r="L37" s="143">
        <f>SUM([4]K2A!$AE$28:$AE$33)+SUM([4]K2A3!$AE$28:$AE$33)+SUM('[4]K2A1, K2A2 &amp; K3S'!$AE$21:$AE$22)+SUM('[4]K2 - K2G &amp; K3'!$AE$21:$AE$22)</f>
        <v>10947.299714740002</v>
      </c>
    </row>
    <row r="38" spans="1:12" ht="20.25">
      <c r="A38" s="1220"/>
      <c r="B38" s="1237"/>
      <c r="C38" s="1219"/>
      <c r="D38" s="1220" t="s">
        <v>376</v>
      </c>
      <c r="E38" s="1220" t="s">
        <v>1310</v>
      </c>
      <c r="F38" s="1220"/>
      <c r="G38" s="1220"/>
      <c r="H38" s="1239"/>
      <c r="I38" s="1240"/>
      <c r="J38" s="1240"/>
      <c r="L38" s="143">
        <f>SUM([4]K1A!$AJ$22)</f>
        <v>1143.6075000000001</v>
      </c>
    </row>
    <row r="39" spans="1:12" ht="20.25">
      <c r="A39" s="1220"/>
      <c r="B39" s="1237"/>
      <c r="C39" s="1219"/>
      <c r="D39" s="1220"/>
      <c r="E39" s="1220" t="s">
        <v>1311</v>
      </c>
      <c r="F39" s="1220"/>
      <c r="G39" s="1220"/>
      <c r="H39" s="1239"/>
      <c r="I39" s="1240" t="s">
        <v>1312</v>
      </c>
      <c r="J39" s="1241">
        <f>'[7]KOLOM Print'!AP15*2</f>
        <v>3366.9999999999995</v>
      </c>
      <c r="L39" s="143">
        <f>[4]K2A!$AG$29+[4]K2A3!$AG$29</f>
        <v>762.4035532800001</v>
      </c>
    </row>
    <row r="40" spans="1:12" ht="20.25">
      <c r="A40" s="1220"/>
      <c r="B40" s="1237"/>
      <c r="C40" s="1219"/>
      <c r="D40" s="1220"/>
      <c r="E40" s="1220" t="s">
        <v>1313</v>
      </c>
      <c r="F40" s="1220"/>
      <c r="G40" s="1220"/>
      <c r="H40" s="1239"/>
      <c r="I40" s="1240" t="s">
        <v>1312</v>
      </c>
      <c r="J40" s="1241">
        <f>'[7]KOLOM Print'!AR15*2</f>
        <v>881.52292799999975</v>
      </c>
    </row>
    <row r="41" spans="1:12" ht="20.25">
      <c r="A41" s="1220"/>
      <c r="B41" s="1237"/>
      <c r="C41" s="1219"/>
      <c r="D41" s="1220" t="s">
        <v>379</v>
      </c>
      <c r="E41" s="1220" t="s">
        <v>1314</v>
      </c>
      <c r="F41" s="1220"/>
      <c r="G41" s="1220"/>
      <c r="H41" s="1239"/>
      <c r="I41" s="1240" t="s">
        <v>453</v>
      </c>
      <c r="J41" s="1241">
        <f>'[7]KOLOM Print'!J15*2</f>
        <v>92.16</v>
      </c>
    </row>
    <row r="42" spans="1:12" ht="20.25">
      <c r="A42" s="1220"/>
      <c r="B42" s="1237"/>
      <c r="C42" s="1219"/>
      <c r="D42" s="1220"/>
      <c r="E42" s="1220"/>
      <c r="F42" s="1220"/>
      <c r="G42" s="1220"/>
      <c r="H42" s="1239"/>
      <c r="I42" s="1240"/>
      <c r="J42" s="1240"/>
    </row>
    <row r="43" spans="1:12" ht="20.25">
      <c r="A43" s="1220"/>
      <c r="B43" s="1237">
        <v>6</v>
      </c>
      <c r="C43" s="1219"/>
      <c r="D43" s="1220" t="s">
        <v>1320</v>
      </c>
      <c r="E43" s="1220"/>
      <c r="F43" s="1220"/>
      <c r="G43" s="1220"/>
      <c r="H43" s="1239"/>
      <c r="I43" s="1240"/>
      <c r="J43" s="1240"/>
    </row>
    <row r="44" spans="1:12" ht="20.25">
      <c r="A44" s="1220"/>
      <c r="B44" s="1237"/>
      <c r="C44" s="1219"/>
      <c r="D44" s="1220" t="s">
        <v>374</v>
      </c>
      <c r="E44" s="1220" t="s">
        <v>1309</v>
      </c>
      <c r="F44" s="1220"/>
      <c r="G44" s="1220"/>
      <c r="H44" s="1239"/>
      <c r="I44" s="1240" t="s">
        <v>406</v>
      </c>
      <c r="J44" s="1241">
        <f>'[7]KOLOM Print'!I16*2</f>
        <v>22.5792</v>
      </c>
    </row>
    <row r="45" spans="1:12" ht="20.25">
      <c r="A45" s="1220"/>
      <c r="B45" s="1237"/>
      <c r="C45" s="1219"/>
      <c r="D45" s="1220" t="s">
        <v>376</v>
      </c>
      <c r="E45" s="1220" t="s">
        <v>1310</v>
      </c>
      <c r="F45" s="1220"/>
      <c r="G45" s="1220"/>
      <c r="H45" s="1239"/>
      <c r="I45" s="1240"/>
      <c r="J45" s="1240"/>
      <c r="L45" s="143">
        <f>[4]K1!$AH$24+'[4]K2 - K2G &amp; K3'!$AH$24+'[4]K2A1, K2A2 &amp; K3S'!$AH$24+[4]K2A3!$AH$35+[4]K2A!$AH$35</f>
        <v>32243.059884959985</v>
      </c>
    </row>
    <row r="46" spans="1:12" ht="20.25">
      <c r="A46" s="1220"/>
      <c r="B46" s="1237"/>
      <c r="C46" s="1219"/>
      <c r="D46" s="1220"/>
      <c r="E46" s="1220" t="s">
        <v>1311</v>
      </c>
      <c r="F46" s="1220"/>
      <c r="G46" s="1220"/>
      <c r="H46" s="1239"/>
      <c r="I46" s="1240" t="s">
        <v>1312</v>
      </c>
      <c r="J46" s="1241">
        <f>'[7]KOLOM Print'!AP16*2</f>
        <v>2805.833333333333</v>
      </c>
      <c r="L46" s="143">
        <f>SUM([4]K2A!$AE$35:$AE$40)+SUM([4]K2A3!$AE$35:$AE$40)+SUM('[4]K2A1, K2A2 &amp; K3S'!$AE$24:$AE$25)+SUM('[4]K2 - K2G &amp; K3'!$AE$24:$AE$25)</f>
        <v>10947.299714740002</v>
      </c>
    </row>
    <row r="47" spans="1:12" ht="20.25">
      <c r="A47" s="1220"/>
      <c r="B47" s="1237"/>
      <c r="C47" s="1219"/>
      <c r="D47" s="1220"/>
      <c r="E47" s="1220" t="s">
        <v>1313</v>
      </c>
      <c r="F47" s="1220"/>
      <c r="G47" s="1220"/>
      <c r="H47" s="1239"/>
      <c r="I47" s="1240" t="s">
        <v>1312</v>
      </c>
      <c r="J47" s="1241">
        <f>'[7]KOLOM Print'!AR16*2</f>
        <v>620.84786399999984</v>
      </c>
      <c r="L47" s="143">
        <f>[4]K1!$AF$24+[4]K1!$AF$25+[4]K1A!$AF$25+[4]K1A!$AF$26</f>
        <v>1480.2977366365499</v>
      </c>
    </row>
    <row r="48" spans="1:12" ht="20.25">
      <c r="A48" s="1220"/>
      <c r="B48" s="1237"/>
      <c r="C48" s="1219"/>
      <c r="D48" s="1220" t="s">
        <v>379</v>
      </c>
      <c r="E48" s="1220" t="s">
        <v>1314</v>
      </c>
      <c r="F48" s="1220"/>
      <c r="G48" s="1220"/>
      <c r="H48" s="1239"/>
      <c r="I48" s="1240" t="s">
        <v>453</v>
      </c>
      <c r="J48" s="1241">
        <f>'[7]KOLOM Print'!J16*2</f>
        <v>64.512</v>
      </c>
      <c r="L48" s="143">
        <f>[4]K1A!$AJ$25</f>
        <v>1143.6075000000001</v>
      </c>
    </row>
    <row r="49" spans="1:12" ht="20.25">
      <c r="A49" s="1220"/>
      <c r="B49" s="1237"/>
      <c r="C49" s="1219"/>
      <c r="D49" s="1220"/>
      <c r="E49" s="1220"/>
      <c r="F49" s="1220"/>
      <c r="G49" s="1220"/>
      <c r="H49" s="1239"/>
      <c r="I49" s="1240"/>
      <c r="J49" s="1240"/>
      <c r="L49" s="143">
        <f>[4]K2A!$AG$36+[4]K2A3!$AG$36</f>
        <v>762.4035532800001</v>
      </c>
    </row>
    <row r="50" spans="1:12" ht="20.25">
      <c r="A50" s="1220"/>
      <c r="B50" s="1237">
        <v>7</v>
      </c>
      <c r="C50" s="1219"/>
      <c r="D50" s="1220" t="s">
        <v>1321</v>
      </c>
      <c r="E50" s="1220"/>
      <c r="F50" s="1220"/>
      <c r="G50" s="1220"/>
      <c r="H50" s="1239"/>
      <c r="I50" s="1240"/>
      <c r="J50" s="1240"/>
    </row>
    <row r="51" spans="1:12" ht="20.25">
      <c r="A51" s="1220"/>
      <c r="B51" s="1237"/>
      <c r="C51" s="1219"/>
      <c r="D51" s="1220" t="s">
        <v>374</v>
      </c>
      <c r="E51" s="1220" t="s">
        <v>1309</v>
      </c>
      <c r="F51" s="1220"/>
      <c r="G51" s="1220"/>
      <c r="H51" s="1239"/>
      <c r="I51" s="1240" t="s">
        <v>406</v>
      </c>
      <c r="J51" s="1241">
        <f>'[7]KOLOM Print'!I17</f>
        <v>3.5999999999999996</v>
      </c>
    </row>
    <row r="52" spans="1:12" ht="20.25">
      <c r="A52" s="1220"/>
      <c r="B52" s="1237"/>
      <c r="C52" s="1219"/>
      <c r="D52" s="1220" t="s">
        <v>376</v>
      </c>
      <c r="E52" s="1220" t="s">
        <v>1310</v>
      </c>
      <c r="F52" s="1220"/>
      <c r="G52" s="1220"/>
      <c r="H52" s="1239"/>
      <c r="I52" s="1240"/>
      <c r="J52" s="1240"/>
    </row>
    <row r="53" spans="1:12" ht="20.25">
      <c r="A53" s="1220"/>
      <c r="B53" s="1237"/>
      <c r="C53" s="1219"/>
      <c r="D53" s="1220"/>
      <c r="E53" s="1220" t="s">
        <v>1317</v>
      </c>
      <c r="F53" s="1220"/>
      <c r="G53" s="1220"/>
      <c r="H53" s="1239"/>
      <c r="I53" s="1240" t="s">
        <v>1312</v>
      </c>
      <c r="J53" s="1241">
        <f>'[7]KOLOM Print'!AP17</f>
        <v>378.12223999999998</v>
      </c>
    </row>
    <row r="54" spans="1:12" ht="20.25">
      <c r="A54" s="1220"/>
      <c r="B54" s="1237"/>
      <c r="C54" s="1219"/>
      <c r="D54" s="1220"/>
      <c r="E54" s="1220" t="s">
        <v>1313</v>
      </c>
      <c r="F54" s="1220"/>
      <c r="G54" s="1220"/>
      <c r="H54" s="1239"/>
      <c r="I54" s="1240" t="s">
        <v>1312</v>
      </c>
      <c r="J54" s="1241">
        <f>'[7]KOLOM Print'!AR17</f>
        <v>98.887679999999989</v>
      </c>
    </row>
    <row r="55" spans="1:12" ht="20.25">
      <c r="A55" s="1220"/>
      <c r="B55" s="1237"/>
      <c r="C55" s="1219"/>
      <c r="D55" s="1220" t="s">
        <v>379</v>
      </c>
      <c r="E55" s="1220" t="s">
        <v>1314</v>
      </c>
      <c r="F55" s="1220"/>
      <c r="G55" s="1220"/>
      <c r="H55" s="1239"/>
      <c r="I55" s="1240" t="s">
        <v>453</v>
      </c>
      <c r="J55" s="1241">
        <f>'[7]KOLOM Print'!J17</f>
        <v>28.799999999999997</v>
      </c>
      <c r="L55" s="143">
        <v>8761.1200000000008</v>
      </c>
    </row>
    <row r="56" spans="1:12" ht="20.25">
      <c r="A56" s="1220"/>
      <c r="B56" s="1237"/>
      <c r="C56" s="1219"/>
      <c r="D56" s="1220"/>
      <c r="E56" s="1220"/>
      <c r="F56" s="1220"/>
      <c r="G56" s="1220"/>
      <c r="H56" s="1239"/>
      <c r="I56" s="1240"/>
      <c r="J56" s="1240"/>
      <c r="L56" s="143">
        <f>[4]K2A!$AG$43+[4]K2A3!$AG$43</f>
        <v>762.4035532800001</v>
      </c>
    </row>
    <row r="57" spans="1:12" ht="20.25">
      <c r="A57" s="1220"/>
      <c r="B57" s="1237">
        <v>8</v>
      </c>
      <c r="C57" s="1219"/>
      <c r="D57" s="1220" t="s">
        <v>1322</v>
      </c>
      <c r="E57" s="1220"/>
      <c r="F57" s="1220"/>
      <c r="G57" s="1220"/>
      <c r="H57" s="1239"/>
      <c r="I57" s="1240"/>
      <c r="J57" s="1240"/>
    </row>
    <row r="58" spans="1:12" ht="20.25">
      <c r="A58" s="1220"/>
      <c r="B58" s="1237"/>
      <c r="C58" s="1219"/>
      <c r="D58" s="1220" t="s">
        <v>374</v>
      </c>
      <c r="E58" s="1220" t="s">
        <v>1309</v>
      </c>
      <c r="F58" s="1220"/>
      <c r="G58" s="1220"/>
      <c r="H58" s="1239"/>
      <c r="I58" s="1240" t="s">
        <v>406</v>
      </c>
      <c r="J58" s="1241">
        <f>'[7]KOLOM Print'!I18*2</f>
        <v>29.491199999999999</v>
      </c>
    </row>
    <row r="59" spans="1:12" ht="20.25">
      <c r="A59" s="1220"/>
      <c r="B59" s="1237"/>
      <c r="C59" s="1219"/>
      <c r="D59" s="1220" t="s">
        <v>376</v>
      </c>
      <c r="E59" s="1220" t="s">
        <v>1310</v>
      </c>
      <c r="F59" s="1220"/>
      <c r="G59" s="1220"/>
      <c r="H59" s="1239"/>
      <c r="I59" s="1240"/>
      <c r="J59" s="1240"/>
    </row>
    <row r="60" spans="1:12" ht="20.25">
      <c r="A60" s="1220"/>
      <c r="B60" s="1237"/>
      <c r="C60" s="1219"/>
      <c r="D60" s="1220"/>
      <c r="E60" s="1220" t="s">
        <v>1317</v>
      </c>
      <c r="F60" s="1220"/>
      <c r="G60" s="1220"/>
      <c r="H60" s="1239"/>
      <c r="I60" s="1240" t="s">
        <v>1312</v>
      </c>
      <c r="J60" s="1241">
        <f>'[7]KOLOM Print'!AP18*2</f>
        <v>4489.333333333333</v>
      </c>
    </row>
    <row r="61" spans="1:12" ht="20.25">
      <c r="A61" s="1220"/>
      <c r="B61" s="1237"/>
      <c r="C61" s="1219"/>
      <c r="D61" s="1220"/>
      <c r="E61" s="1220" t="s">
        <v>1313</v>
      </c>
      <c r="F61" s="1220"/>
      <c r="G61" s="1220"/>
      <c r="H61" s="1239"/>
      <c r="I61" s="1240" t="s">
        <v>1312</v>
      </c>
      <c r="J61" s="1241">
        <f>'[7]KOLOM Print'!AR18*2</f>
        <v>521.03577599999994</v>
      </c>
    </row>
    <row r="62" spans="1:12" ht="20.25">
      <c r="A62" s="1220"/>
      <c r="B62" s="1237"/>
      <c r="C62" s="1219"/>
      <c r="D62" s="1220" t="s">
        <v>379</v>
      </c>
      <c r="E62" s="1220" t="s">
        <v>1314</v>
      </c>
      <c r="F62" s="1220"/>
      <c r="G62" s="1220"/>
      <c r="H62" s="1239"/>
      <c r="I62" s="1240" t="s">
        <v>453</v>
      </c>
      <c r="J62" s="1241">
        <f>'[7]KOLOM Print'!J18*2</f>
        <v>147.45599999999999</v>
      </c>
    </row>
    <row r="63" spans="1:12" ht="20.25">
      <c r="A63" s="1220"/>
      <c r="B63" s="1237">
        <v>9</v>
      </c>
      <c r="C63" s="1219"/>
      <c r="D63" s="1220" t="s">
        <v>1323</v>
      </c>
      <c r="E63" s="1220"/>
      <c r="F63" s="1220"/>
      <c r="G63" s="1220"/>
      <c r="H63" s="1239"/>
      <c r="I63" s="1240"/>
      <c r="J63" s="1240"/>
    </row>
    <row r="64" spans="1:12" ht="20.25">
      <c r="A64" s="1220"/>
      <c r="B64" s="1237"/>
      <c r="C64" s="1219"/>
      <c r="D64" s="1220" t="s">
        <v>374</v>
      </c>
      <c r="E64" s="1220" t="s">
        <v>1309</v>
      </c>
      <c r="F64" s="1220"/>
      <c r="G64" s="1220"/>
      <c r="H64" s="1239"/>
      <c r="I64" s="1240" t="s">
        <v>406</v>
      </c>
      <c r="J64" s="1241">
        <f>'[7]KOLOM Print'!I19*2</f>
        <v>4.1471999999999998</v>
      </c>
    </row>
    <row r="65" spans="1:10" ht="20.25">
      <c r="A65" s="1220"/>
      <c r="B65" s="1237"/>
      <c r="C65" s="1219"/>
      <c r="D65" s="1220" t="s">
        <v>376</v>
      </c>
      <c r="E65" s="1220" t="s">
        <v>1310</v>
      </c>
      <c r="F65" s="1220"/>
      <c r="G65" s="1220"/>
      <c r="H65" s="1239"/>
      <c r="I65" s="1240"/>
      <c r="J65" s="1240"/>
    </row>
    <row r="66" spans="1:10" ht="20.25">
      <c r="A66" s="1220"/>
      <c r="B66" s="1237"/>
      <c r="C66" s="1219"/>
      <c r="D66" s="1220"/>
      <c r="E66" s="1220" t="s">
        <v>1317</v>
      </c>
      <c r="F66" s="1220"/>
      <c r="G66" s="1220"/>
      <c r="H66" s="1239"/>
      <c r="I66" s="1240" t="s">
        <v>1312</v>
      </c>
      <c r="J66" s="1241">
        <f>'[7]KOLOM Print'!AP19*2</f>
        <v>595.25915733333329</v>
      </c>
    </row>
    <row r="67" spans="1:10" ht="20.25">
      <c r="A67" s="1220"/>
      <c r="B67" s="1237"/>
      <c r="C67" s="1219"/>
      <c r="D67" s="1220"/>
      <c r="E67" s="1220" t="s">
        <v>1313</v>
      </c>
      <c r="F67" s="1220"/>
      <c r="G67" s="1220"/>
      <c r="H67" s="1239"/>
      <c r="I67" s="1240" t="s">
        <v>1312</v>
      </c>
      <c r="J67" s="1241">
        <f>'[7]KOLOM Print'!AR19*2</f>
        <v>96.159744000000003</v>
      </c>
    </row>
    <row r="68" spans="1:10" ht="20.25">
      <c r="A68" s="1220"/>
      <c r="B68" s="1237"/>
      <c r="C68" s="1219"/>
      <c r="D68" s="1220" t="s">
        <v>379</v>
      </c>
      <c r="E68" s="1220" t="s">
        <v>1314</v>
      </c>
      <c r="F68" s="1220"/>
      <c r="G68" s="1220"/>
      <c r="H68" s="1239"/>
      <c r="I68" s="1240" t="s">
        <v>453</v>
      </c>
      <c r="J68" s="1241">
        <f>'[7]KOLOM Print'!J19*2</f>
        <v>27.648</v>
      </c>
    </row>
    <row r="69" spans="1:10" ht="20.25">
      <c r="A69" s="1220"/>
      <c r="B69" s="1237"/>
      <c r="C69" s="1219"/>
      <c r="D69" s="1220"/>
      <c r="E69" s="1220"/>
      <c r="F69" s="1220"/>
      <c r="G69" s="1220"/>
      <c r="H69" s="1239"/>
      <c r="I69" s="1240"/>
      <c r="J69" s="1240"/>
    </row>
    <row r="70" spans="1:10" ht="20.25">
      <c r="A70" s="1220"/>
      <c r="B70" s="1237">
        <v>10</v>
      </c>
      <c r="C70" s="1219"/>
      <c r="D70" s="1220" t="s">
        <v>1324</v>
      </c>
      <c r="E70" s="1220"/>
      <c r="F70" s="1220"/>
      <c r="G70" s="1220"/>
      <c r="H70" s="1239"/>
      <c r="I70" s="1240"/>
      <c r="J70" s="1240"/>
    </row>
    <row r="71" spans="1:10" ht="20.25">
      <c r="A71" s="1220"/>
      <c r="B71" s="1237"/>
      <c r="C71" s="1219"/>
      <c r="D71" s="1220" t="s">
        <v>374</v>
      </c>
      <c r="E71" s="1220" t="s">
        <v>1309</v>
      </c>
      <c r="F71" s="1220"/>
      <c r="G71" s="1220"/>
      <c r="H71" s="1239"/>
      <c r="I71" s="1240" t="s">
        <v>406</v>
      </c>
      <c r="J71" s="1241">
        <f>'[7]KOLOM Print'!I20*2</f>
        <v>31.103999999999999</v>
      </c>
    </row>
    <row r="72" spans="1:10" ht="20.25">
      <c r="A72" s="1220"/>
      <c r="B72" s="1237"/>
      <c r="C72" s="1219"/>
      <c r="D72" s="1220" t="s">
        <v>376</v>
      </c>
      <c r="E72" s="1220" t="s">
        <v>1310</v>
      </c>
      <c r="F72" s="1220"/>
      <c r="G72" s="1220"/>
      <c r="H72" s="1239"/>
      <c r="I72" s="1240"/>
      <c r="J72" s="1240"/>
    </row>
    <row r="73" spans="1:10" ht="20.25">
      <c r="A73" s="1220"/>
      <c r="B73" s="1237"/>
      <c r="C73" s="1219"/>
      <c r="D73" s="1220"/>
      <c r="E73" s="1220" t="s">
        <v>1317</v>
      </c>
      <c r="F73" s="1220"/>
      <c r="G73" s="1220"/>
      <c r="H73" s="1239"/>
      <c r="I73" s="1240" t="s">
        <v>1312</v>
      </c>
      <c r="J73" s="1241">
        <f>'[7]KOLOM Print'!AP20*2</f>
        <v>5580.5545999999995</v>
      </c>
    </row>
    <row r="74" spans="1:10" ht="20.25">
      <c r="A74" s="1220"/>
      <c r="B74" s="1237"/>
      <c r="C74" s="1219"/>
      <c r="D74" s="1220"/>
      <c r="E74" s="1220" t="s">
        <v>1313</v>
      </c>
      <c r="F74" s="1220"/>
      <c r="G74" s="1220"/>
      <c r="H74" s="1239"/>
      <c r="I74" s="1240" t="s">
        <v>1312</v>
      </c>
      <c r="J74" s="1241">
        <f>'[7]KOLOM Print'!AR20*2</f>
        <v>721.19808</v>
      </c>
    </row>
    <row r="75" spans="1:10" ht="21" thickBot="1">
      <c r="A75" s="1220"/>
      <c r="B75" s="1242"/>
      <c r="C75" s="1243"/>
      <c r="D75" s="1244" t="s">
        <v>379</v>
      </c>
      <c r="E75" s="1244" t="s">
        <v>1314</v>
      </c>
      <c r="F75" s="1244"/>
      <c r="G75" s="1244"/>
      <c r="H75" s="1245"/>
      <c r="I75" s="1246" t="s">
        <v>453</v>
      </c>
      <c r="J75" s="1247">
        <f>'[7]KOLOM Print'!J20*2</f>
        <v>207.35999999999999</v>
      </c>
    </row>
    <row r="76" spans="1:10" ht="20.25">
      <c r="A76" s="1220"/>
      <c r="B76" s="1248"/>
      <c r="C76" s="1249"/>
      <c r="D76" s="1250" t="s">
        <v>386</v>
      </c>
      <c r="E76" s="1251"/>
      <c r="F76" s="1251"/>
      <c r="G76" s="1251"/>
      <c r="H76" s="1252"/>
      <c r="I76" s="1253"/>
      <c r="J76" s="1253"/>
    </row>
    <row r="77" spans="1:10" ht="20.25">
      <c r="A77" s="1220"/>
      <c r="B77" s="1237">
        <v>1</v>
      </c>
      <c r="C77" s="1219"/>
      <c r="D77" s="1220" t="s">
        <v>1308</v>
      </c>
      <c r="E77" s="1220"/>
      <c r="F77" s="1220"/>
      <c r="G77" s="1220"/>
      <c r="H77" s="1239"/>
      <c r="I77" s="1240"/>
      <c r="J77" s="1240"/>
    </row>
    <row r="78" spans="1:10" ht="20.25">
      <c r="A78" s="1220"/>
      <c r="B78" s="1237"/>
      <c r="C78" s="1219"/>
      <c r="D78" s="1220" t="s">
        <v>374</v>
      </c>
      <c r="E78" s="1220" t="s">
        <v>1309</v>
      </c>
      <c r="F78" s="1220"/>
      <c r="G78" s="1220"/>
      <c r="H78" s="1239"/>
      <c r="I78" s="1240" t="s">
        <v>406</v>
      </c>
      <c r="J78" s="1241">
        <f>'[7]KOLOM Print'!I27</f>
        <v>48.96</v>
      </c>
    </row>
    <row r="79" spans="1:10" ht="20.25">
      <c r="A79" s="1220"/>
      <c r="B79" s="1237"/>
      <c r="C79" s="1219"/>
      <c r="D79" s="1220" t="s">
        <v>376</v>
      </c>
      <c r="E79" s="1220" t="s">
        <v>1310</v>
      </c>
      <c r="F79" s="1220"/>
      <c r="G79" s="1220"/>
      <c r="H79" s="1239"/>
      <c r="I79" s="1240"/>
      <c r="J79" s="1240"/>
    </row>
    <row r="80" spans="1:10" ht="20.25">
      <c r="A80" s="1220"/>
      <c r="B80" s="1237"/>
      <c r="C80" s="1219"/>
      <c r="D80" s="1220"/>
      <c r="E80" s="1220" t="s">
        <v>1311</v>
      </c>
      <c r="F80" s="1220"/>
      <c r="G80" s="1220"/>
      <c r="H80" s="1239"/>
      <c r="I80" s="1240" t="s">
        <v>1312</v>
      </c>
      <c r="J80" s="1241">
        <f>'[7]KOLOM Print'!AP44</f>
        <v>7154.8749999999991</v>
      </c>
    </row>
    <row r="81" spans="1:10" ht="20.25">
      <c r="A81" s="1220"/>
      <c r="B81" s="1237"/>
      <c r="C81" s="1219"/>
      <c r="D81" s="1220"/>
      <c r="E81" s="1220" t="s">
        <v>1313</v>
      </c>
      <c r="F81" s="1220"/>
      <c r="G81" s="1220"/>
      <c r="H81" s="1239"/>
      <c r="I81" s="1240" t="s">
        <v>1312</v>
      </c>
      <c r="J81" s="1241">
        <f>'[7]KOLOM Print'!AR44</f>
        <v>1873.2362219999995</v>
      </c>
    </row>
    <row r="82" spans="1:10" ht="20.25">
      <c r="A82" s="1220"/>
      <c r="B82" s="1237"/>
      <c r="C82" s="1219"/>
      <c r="D82" s="1220" t="s">
        <v>379</v>
      </c>
      <c r="E82" s="1220" t="s">
        <v>1314</v>
      </c>
      <c r="F82" s="1220"/>
      <c r="G82" s="1220"/>
      <c r="H82" s="1239"/>
      <c r="I82" s="1240" t="s">
        <v>453</v>
      </c>
      <c r="J82" s="1241">
        <f>'[7]KOLOM Print'!J44</f>
        <v>195.84</v>
      </c>
    </row>
    <row r="83" spans="1:10" ht="20.25">
      <c r="A83" s="1220"/>
      <c r="B83" s="1237"/>
      <c r="C83" s="1219"/>
      <c r="D83" s="1220"/>
      <c r="E83" s="1220"/>
      <c r="F83" s="1220"/>
      <c r="G83" s="1220"/>
      <c r="H83" s="1239"/>
      <c r="I83" s="1240"/>
      <c r="J83" s="1240"/>
    </row>
    <row r="84" spans="1:10" ht="20.25">
      <c r="A84" s="1220"/>
      <c r="B84" s="1237">
        <v>2</v>
      </c>
      <c r="C84" s="1219"/>
      <c r="D84" s="1220" t="s">
        <v>1315</v>
      </c>
      <c r="E84" s="1220"/>
      <c r="F84" s="1220"/>
      <c r="G84" s="1220"/>
      <c r="H84" s="1239"/>
      <c r="I84" s="1240"/>
      <c r="J84" s="1240"/>
    </row>
    <row r="85" spans="1:10" ht="20.25">
      <c r="A85" s="1217"/>
      <c r="B85" s="1237"/>
      <c r="C85" s="1219"/>
      <c r="D85" s="1220" t="s">
        <v>374</v>
      </c>
      <c r="E85" s="1220" t="s">
        <v>1309</v>
      </c>
      <c r="F85" s="1220"/>
      <c r="G85" s="1220"/>
      <c r="H85" s="1239"/>
      <c r="I85" s="1240" t="s">
        <v>406</v>
      </c>
      <c r="J85" s="1241">
        <f>'[7]KOLOM Print'!I45</f>
        <v>13.939200000000001</v>
      </c>
    </row>
    <row r="86" spans="1:10" ht="20.25">
      <c r="A86" s="1217"/>
      <c r="B86" s="1237"/>
      <c r="C86" s="1219"/>
      <c r="D86" s="1220" t="s">
        <v>376</v>
      </c>
      <c r="E86" s="1220" t="s">
        <v>1310</v>
      </c>
      <c r="F86" s="1220"/>
      <c r="G86" s="1220"/>
      <c r="H86" s="1239"/>
      <c r="I86" s="1240"/>
      <c r="J86" s="1240"/>
    </row>
    <row r="87" spans="1:10" ht="20.25">
      <c r="A87" s="1217"/>
      <c r="B87" s="1237"/>
      <c r="C87" s="1219"/>
      <c r="D87" s="1220"/>
      <c r="E87" s="1220" t="s">
        <v>1311</v>
      </c>
      <c r="F87" s="1220"/>
      <c r="G87" s="1220"/>
      <c r="H87" s="1239"/>
      <c r="I87" s="1240" t="s">
        <v>1312</v>
      </c>
      <c r="J87" s="1241">
        <f>'[7]KOLOM Print'!AP45</f>
        <v>1683.4999999999998</v>
      </c>
    </row>
    <row r="88" spans="1:10" ht="20.25">
      <c r="A88" s="1217"/>
      <c r="B88" s="1237"/>
      <c r="C88" s="1219"/>
      <c r="D88" s="1220"/>
      <c r="E88" s="1220" t="s">
        <v>1313</v>
      </c>
      <c r="F88" s="1220"/>
      <c r="G88" s="1220"/>
      <c r="H88" s="1239"/>
      <c r="I88" s="1240" t="s">
        <v>1312</v>
      </c>
      <c r="J88" s="1241">
        <f>'[7]KOLOM Print'!AR45</f>
        <v>485.78306399999991</v>
      </c>
    </row>
    <row r="89" spans="1:10" ht="20.25">
      <c r="A89" s="1217"/>
      <c r="B89" s="1237"/>
      <c r="C89" s="1219"/>
      <c r="D89" s="1220" t="s">
        <v>379</v>
      </c>
      <c r="E89" s="1220" t="s">
        <v>1314</v>
      </c>
      <c r="F89" s="1220"/>
      <c r="G89" s="1220"/>
      <c r="H89" s="1239"/>
      <c r="I89" s="1240" t="s">
        <v>453</v>
      </c>
      <c r="J89" s="1241">
        <f>'[7]KOLOM Print'!J45</f>
        <v>50.688000000000002</v>
      </c>
    </row>
    <row r="90" spans="1:10" ht="20.25">
      <c r="A90" s="1217"/>
      <c r="B90" s="1237"/>
      <c r="C90" s="1219"/>
      <c r="D90" s="1220"/>
      <c r="E90" s="1220"/>
      <c r="F90" s="1220"/>
      <c r="G90" s="1220"/>
      <c r="H90" s="1239"/>
      <c r="I90" s="1240"/>
      <c r="J90" s="1240"/>
    </row>
    <row r="91" spans="1:10" ht="20.25">
      <c r="A91" s="1217"/>
      <c r="B91" s="1237">
        <v>3</v>
      </c>
      <c r="C91" s="1219"/>
      <c r="D91" s="1220" t="s">
        <v>1325</v>
      </c>
      <c r="E91" s="1220"/>
      <c r="F91" s="1220"/>
      <c r="G91" s="1220"/>
      <c r="H91" s="1239"/>
      <c r="I91" s="1240"/>
      <c r="J91" s="1240"/>
    </row>
    <row r="92" spans="1:10" ht="20.25">
      <c r="A92" s="1217"/>
      <c r="B92" s="1237"/>
      <c r="C92" s="1219"/>
      <c r="D92" s="1220" t="s">
        <v>374</v>
      </c>
      <c r="E92" s="1220" t="s">
        <v>1309</v>
      </c>
      <c r="F92" s="1220"/>
      <c r="G92" s="1220"/>
      <c r="H92" s="1239"/>
      <c r="I92" s="1240" t="s">
        <v>406</v>
      </c>
      <c r="J92" s="1241">
        <f>'[7]KOLOM Print'!I46</f>
        <v>15.12</v>
      </c>
    </row>
    <row r="93" spans="1:10" ht="20.25">
      <c r="A93" s="1217"/>
      <c r="B93" s="1237"/>
      <c r="C93" s="1219"/>
      <c r="D93" s="1220" t="s">
        <v>376</v>
      </c>
      <c r="E93" s="1220" t="s">
        <v>1310</v>
      </c>
      <c r="F93" s="1220"/>
      <c r="G93" s="1220"/>
      <c r="H93" s="1239"/>
      <c r="I93" s="1240"/>
      <c r="J93" s="1240"/>
    </row>
    <row r="94" spans="1:10" ht="20.25">
      <c r="A94" s="1217"/>
      <c r="B94" s="1237"/>
      <c r="C94" s="1219"/>
      <c r="D94" s="1220"/>
      <c r="E94" s="1220" t="s">
        <v>1317</v>
      </c>
      <c r="F94" s="1220"/>
      <c r="G94" s="1220"/>
      <c r="H94" s="1239"/>
      <c r="I94" s="1240" t="s">
        <v>1312</v>
      </c>
      <c r="J94" s="1241">
        <f>'[7]KOLOM Print'!AP46</f>
        <v>1588.1134079999999</v>
      </c>
    </row>
    <row r="95" spans="1:10" ht="20.25">
      <c r="A95" s="1217"/>
      <c r="B95" s="1237"/>
      <c r="C95" s="1219"/>
      <c r="D95" s="1220"/>
      <c r="E95" s="1220" t="s">
        <v>1313</v>
      </c>
      <c r="F95" s="1220"/>
      <c r="G95" s="1220"/>
      <c r="H95" s="1239"/>
      <c r="I95" s="1240" t="s">
        <v>1312</v>
      </c>
      <c r="J95" s="1241">
        <f>'[7]KOLOM Print'!AR46</f>
        <v>415.32825599999995</v>
      </c>
    </row>
    <row r="96" spans="1:10" ht="20.25">
      <c r="A96" s="1217"/>
      <c r="B96" s="1237"/>
      <c r="C96" s="1219"/>
      <c r="D96" s="1220" t="s">
        <v>379</v>
      </c>
      <c r="E96" s="1220" t="s">
        <v>1314</v>
      </c>
      <c r="F96" s="1220"/>
      <c r="G96" s="1220"/>
      <c r="H96" s="1239"/>
      <c r="I96" s="1240" t="s">
        <v>453</v>
      </c>
      <c r="J96" s="1241">
        <f>'[7]KOLOM Print'!J46</f>
        <v>120.96</v>
      </c>
    </row>
    <row r="97" spans="1:10" ht="20.25">
      <c r="A97" s="1217"/>
      <c r="B97" s="1237"/>
      <c r="C97" s="1219"/>
      <c r="D97" s="1220"/>
      <c r="E97" s="1220"/>
      <c r="F97" s="1220"/>
      <c r="G97" s="1220"/>
      <c r="H97" s="1239"/>
      <c r="I97" s="1240"/>
      <c r="J97" s="1240"/>
    </row>
    <row r="98" spans="1:10" ht="20.25">
      <c r="A98" s="1220"/>
      <c r="B98" s="1237">
        <v>4</v>
      </c>
      <c r="C98" s="1219"/>
      <c r="D98" s="1220" t="s">
        <v>1318</v>
      </c>
      <c r="E98" s="1220"/>
      <c r="F98" s="1220"/>
      <c r="G98" s="1220"/>
      <c r="H98" s="1239"/>
      <c r="I98" s="1240"/>
      <c r="J98" s="1240"/>
    </row>
    <row r="99" spans="1:10" ht="20.25">
      <c r="A99" s="1220"/>
      <c r="B99" s="1237"/>
      <c r="C99" s="1219"/>
      <c r="D99" s="1220" t="s">
        <v>374</v>
      </c>
      <c r="E99" s="1220" t="s">
        <v>1309</v>
      </c>
      <c r="F99" s="1220"/>
      <c r="G99" s="1220"/>
      <c r="H99" s="1239"/>
      <c r="I99" s="1240" t="s">
        <v>406</v>
      </c>
      <c r="J99" s="1241">
        <f>'[7]KOLOM Print'!I47</f>
        <v>4.6079999999999997</v>
      </c>
    </row>
    <row r="100" spans="1:10" ht="20.25">
      <c r="A100" s="1220"/>
      <c r="B100" s="1237"/>
      <c r="C100" s="1219"/>
      <c r="D100" s="1220" t="s">
        <v>376</v>
      </c>
      <c r="E100" s="1220" t="s">
        <v>1310</v>
      </c>
      <c r="F100" s="1220"/>
      <c r="G100" s="1220"/>
      <c r="H100" s="1239"/>
      <c r="I100" s="1240"/>
      <c r="J100" s="1240"/>
    </row>
    <row r="101" spans="1:10" ht="20.25">
      <c r="A101" s="1220"/>
      <c r="B101" s="1237"/>
      <c r="C101" s="1219"/>
      <c r="D101" s="1220"/>
      <c r="E101" s="1220" t="s">
        <v>1317</v>
      </c>
      <c r="F101" s="1220"/>
      <c r="G101" s="1220"/>
      <c r="H101" s="1239"/>
      <c r="I101" s="1240" t="s">
        <v>1312</v>
      </c>
      <c r="J101" s="1241">
        <f>'[7]KOLOM Print'!AP47</f>
        <v>504.16298666666671</v>
      </c>
    </row>
    <row r="102" spans="1:10" ht="20.25">
      <c r="A102" s="1220"/>
      <c r="B102" s="1237"/>
      <c r="C102" s="1219"/>
      <c r="D102" s="1220"/>
      <c r="E102" s="1220" t="s">
        <v>1313</v>
      </c>
      <c r="F102" s="1220"/>
      <c r="G102" s="1220"/>
      <c r="H102" s="1239"/>
      <c r="I102" s="1240" t="s">
        <v>1312</v>
      </c>
      <c r="J102" s="1241">
        <f>'[7]KOLOM Print'!AR47</f>
        <v>155.15136000000001</v>
      </c>
    </row>
    <row r="103" spans="1:10" ht="20.25">
      <c r="A103" s="1220"/>
      <c r="B103" s="1237"/>
      <c r="C103" s="1219"/>
      <c r="D103" s="1220" t="s">
        <v>379</v>
      </c>
      <c r="E103" s="1220" t="s">
        <v>1314</v>
      </c>
      <c r="F103" s="1220"/>
      <c r="G103" s="1220"/>
      <c r="H103" s="1239"/>
      <c r="I103" s="1240" t="s">
        <v>453</v>
      </c>
      <c r="J103" s="1241">
        <f>'[7]KOLOM Print'!J47</f>
        <v>46.08</v>
      </c>
    </row>
    <row r="104" spans="1:10" ht="20.25">
      <c r="A104" s="1220"/>
      <c r="B104" s="1237"/>
      <c r="C104" s="1219"/>
      <c r="D104" s="1220"/>
      <c r="E104" s="1220"/>
      <c r="F104" s="1220"/>
      <c r="G104" s="1220"/>
      <c r="H104" s="1239"/>
      <c r="I104" s="1240"/>
      <c r="J104" s="1240"/>
    </row>
    <row r="105" spans="1:10" ht="20.25">
      <c r="A105" s="1220"/>
      <c r="B105" s="1237">
        <v>5</v>
      </c>
      <c r="C105" s="1254"/>
      <c r="D105" s="1220" t="s">
        <v>1319</v>
      </c>
      <c r="E105" s="1220"/>
      <c r="F105" s="1220"/>
      <c r="G105" s="1220"/>
      <c r="H105" s="1239"/>
      <c r="I105" s="1240"/>
      <c r="J105" s="1240"/>
    </row>
    <row r="106" spans="1:10" ht="20.25">
      <c r="A106" s="1220"/>
      <c r="B106" s="1237"/>
      <c r="C106" s="1219"/>
      <c r="D106" s="1220" t="s">
        <v>374</v>
      </c>
      <c r="E106" s="1220" t="s">
        <v>1309</v>
      </c>
      <c r="F106" s="1220"/>
      <c r="G106" s="1220"/>
      <c r="H106" s="1239"/>
      <c r="I106" s="1240" t="s">
        <v>406</v>
      </c>
      <c r="J106" s="1241">
        <f>'[7]KOLOM Print'!I48</f>
        <v>11.52</v>
      </c>
    </row>
    <row r="107" spans="1:10" ht="20.25">
      <c r="A107" s="1220"/>
      <c r="B107" s="1237"/>
      <c r="C107" s="1219"/>
      <c r="D107" s="1220" t="s">
        <v>376</v>
      </c>
      <c r="E107" s="1220" t="s">
        <v>1310</v>
      </c>
      <c r="F107" s="1220"/>
      <c r="G107" s="1220"/>
      <c r="H107" s="1239"/>
      <c r="I107" s="1240"/>
      <c r="J107" s="1240"/>
    </row>
    <row r="108" spans="1:10" ht="20.25">
      <c r="A108" s="1220"/>
      <c r="B108" s="1237"/>
      <c r="C108" s="1219"/>
      <c r="D108" s="1220"/>
      <c r="E108" s="1220" t="s">
        <v>1311</v>
      </c>
      <c r="F108" s="1220"/>
      <c r="G108" s="1220"/>
      <c r="H108" s="1239"/>
      <c r="I108" s="1240" t="s">
        <v>1312</v>
      </c>
      <c r="J108" s="1241">
        <f>'[7]KOLOM Print'!AP48</f>
        <v>1683.4999999999998</v>
      </c>
    </row>
    <row r="109" spans="1:10" ht="20.25">
      <c r="A109" s="1220"/>
      <c r="B109" s="1237"/>
      <c r="C109" s="1219"/>
      <c r="D109" s="1220"/>
      <c r="E109" s="1220" t="s">
        <v>1313</v>
      </c>
      <c r="F109" s="1220"/>
      <c r="G109" s="1220"/>
      <c r="H109" s="1239"/>
      <c r="I109" s="1240" t="s">
        <v>1312</v>
      </c>
      <c r="J109" s="1241">
        <f>'[7]KOLOM Print'!AR48</f>
        <v>440.76146399999988</v>
      </c>
    </row>
    <row r="110" spans="1:10" ht="20.25">
      <c r="A110" s="1220"/>
      <c r="B110" s="1237"/>
      <c r="C110" s="1219"/>
      <c r="D110" s="1220" t="s">
        <v>379</v>
      </c>
      <c r="E110" s="1220" t="s">
        <v>1314</v>
      </c>
      <c r="F110" s="1220"/>
      <c r="G110" s="1220"/>
      <c r="H110" s="1239"/>
      <c r="I110" s="1240" t="s">
        <v>453</v>
      </c>
      <c r="J110" s="1241">
        <f>'[7]KOLOM Print'!J48</f>
        <v>46.08</v>
      </c>
    </row>
    <row r="111" spans="1:10" ht="20.25">
      <c r="A111" s="1220"/>
      <c r="B111" s="1237"/>
      <c r="C111" s="1219"/>
      <c r="D111" s="1220"/>
      <c r="E111" s="1220"/>
      <c r="F111" s="1220"/>
      <c r="G111" s="1220"/>
      <c r="H111" s="1239"/>
      <c r="I111" s="1240"/>
      <c r="J111" s="1240"/>
    </row>
    <row r="112" spans="1:10" ht="20.25">
      <c r="A112" s="1220"/>
      <c r="B112" s="1237">
        <v>6</v>
      </c>
      <c r="C112" s="1219"/>
      <c r="D112" s="1220" t="s">
        <v>1320</v>
      </c>
      <c r="E112" s="1220"/>
      <c r="F112" s="1220"/>
      <c r="G112" s="1220"/>
      <c r="H112" s="1239"/>
      <c r="I112" s="1240"/>
      <c r="J112" s="1240"/>
    </row>
    <row r="113" spans="1:10" ht="20.25">
      <c r="A113" s="1220"/>
      <c r="B113" s="1237"/>
      <c r="C113" s="1219"/>
      <c r="D113" s="1220" t="s">
        <v>374</v>
      </c>
      <c r="E113" s="1220" t="s">
        <v>1309</v>
      </c>
      <c r="F113" s="1220"/>
      <c r="G113" s="1220"/>
      <c r="H113" s="1239"/>
      <c r="I113" s="1240" t="s">
        <v>406</v>
      </c>
      <c r="J113" s="1241">
        <f>'[7]KOLOM Print'!I49</f>
        <v>11.2896</v>
      </c>
    </row>
    <row r="114" spans="1:10" ht="20.25">
      <c r="A114" s="1220"/>
      <c r="B114" s="1237"/>
      <c r="C114" s="1219"/>
      <c r="D114" s="1220" t="s">
        <v>376</v>
      </c>
      <c r="E114" s="1220" t="s">
        <v>1310</v>
      </c>
      <c r="F114" s="1220"/>
      <c r="G114" s="1220"/>
      <c r="H114" s="1239"/>
      <c r="I114" s="1240"/>
      <c r="J114" s="1240"/>
    </row>
    <row r="115" spans="1:10" ht="20.25">
      <c r="A115" s="1220"/>
      <c r="B115" s="1237"/>
      <c r="C115" s="1219"/>
      <c r="D115" s="1220"/>
      <c r="E115" s="1220" t="s">
        <v>1311</v>
      </c>
      <c r="F115" s="1220"/>
      <c r="G115" s="1220"/>
      <c r="H115" s="1239"/>
      <c r="I115" s="1240" t="s">
        <v>1312</v>
      </c>
      <c r="J115" s="1241">
        <f>'[7]KOLOM Print'!AP49</f>
        <v>1402.9166666666665</v>
      </c>
    </row>
    <row r="116" spans="1:10" ht="20.25">
      <c r="A116" s="1220"/>
      <c r="B116" s="1237"/>
      <c r="C116" s="1219"/>
      <c r="D116" s="1220"/>
      <c r="E116" s="1220" t="s">
        <v>1313</v>
      </c>
      <c r="F116" s="1220"/>
      <c r="G116" s="1220"/>
      <c r="H116" s="1239"/>
      <c r="I116" s="1240" t="s">
        <v>1312</v>
      </c>
      <c r="J116" s="1241">
        <f>'[7]KOLOM Print'!AR49</f>
        <v>310.42393199999992</v>
      </c>
    </row>
    <row r="117" spans="1:10" ht="20.25">
      <c r="A117" s="1220"/>
      <c r="B117" s="1237"/>
      <c r="C117" s="1219"/>
      <c r="D117" s="1220" t="s">
        <v>379</v>
      </c>
      <c r="E117" s="1220" t="s">
        <v>1314</v>
      </c>
      <c r="F117" s="1220"/>
      <c r="G117" s="1220"/>
      <c r="H117" s="1239"/>
      <c r="I117" s="1240" t="s">
        <v>453</v>
      </c>
      <c r="J117" s="1241">
        <f>'[7]KOLOM Print'!J49</f>
        <v>32.256</v>
      </c>
    </row>
    <row r="118" spans="1:10" ht="20.25">
      <c r="A118" s="1220"/>
      <c r="B118" s="1237"/>
      <c r="C118" s="1219"/>
      <c r="D118" s="1220"/>
      <c r="E118" s="1220"/>
      <c r="F118" s="1220"/>
      <c r="G118" s="1220"/>
      <c r="H118" s="1239"/>
      <c r="I118" s="1240"/>
      <c r="J118" s="1240"/>
    </row>
    <row r="119" spans="1:10" ht="20.25">
      <c r="A119" s="1220"/>
      <c r="B119" s="1237">
        <v>8</v>
      </c>
      <c r="C119" s="1219"/>
      <c r="D119" s="1220" t="s">
        <v>1322</v>
      </c>
      <c r="E119" s="1220"/>
      <c r="F119" s="1220"/>
      <c r="G119" s="1220"/>
      <c r="H119" s="1239"/>
      <c r="I119" s="1240"/>
      <c r="J119" s="1240"/>
    </row>
    <row r="120" spans="1:10" ht="20.25">
      <c r="A120" s="1220"/>
      <c r="B120" s="1237"/>
      <c r="C120" s="1219"/>
      <c r="D120" s="1220" t="s">
        <v>374</v>
      </c>
      <c r="E120" s="1220" t="s">
        <v>1309</v>
      </c>
      <c r="F120" s="1220"/>
      <c r="G120" s="1220"/>
      <c r="H120" s="1239"/>
      <c r="I120" s="1240" t="s">
        <v>406</v>
      </c>
      <c r="J120" s="1241">
        <f>'[7]KOLOM Print'!I50</f>
        <v>14.7456</v>
      </c>
    </row>
    <row r="121" spans="1:10" ht="20.25">
      <c r="A121" s="1220"/>
      <c r="B121" s="1237"/>
      <c r="C121" s="1219"/>
      <c r="D121" s="1220" t="s">
        <v>376</v>
      </c>
      <c r="E121" s="1220" t="s">
        <v>1310</v>
      </c>
      <c r="F121" s="1220"/>
      <c r="G121" s="1220"/>
      <c r="H121" s="1239"/>
      <c r="I121" s="1240"/>
      <c r="J121" s="1240"/>
    </row>
    <row r="122" spans="1:10" ht="20.25">
      <c r="A122" s="1220"/>
      <c r="B122" s="1237"/>
      <c r="C122" s="1219"/>
      <c r="D122" s="1220"/>
      <c r="E122" s="1220" t="s">
        <v>1317</v>
      </c>
      <c r="F122" s="1220"/>
      <c r="G122" s="1220"/>
      <c r="H122" s="1239"/>
      <c r="I122" s="1240" t="s">
        <v>1312</v>
      </c>
      <c r="J122" s="1241">
        <f>'[7]KOLOM Print'!AP50</f>
        <v>2244.6666666666665</v>
      </c>
    </row>
    <row r="123" spans="1:10" ht="20.25">
      <c r="A123" s="1220"/>
      <c r="B123" s="1237"/>
      <c r="C123" s="1219"/>
      <c r="D123" s="1220"/>
      <c r="E123" s="1220" t="s">
        <v>1313</v>
      </c>
      <c r="F123" s="1220"/>
      <c r="G123" s="1220"/>
      <c r="H123" s="1239"/>
      <c r="I123" s="1240" t="s">
        <v>1312</v>
      </c>
      <c r="J123" s="1241">
        <f>'[7]KOLOM Print'!AR50</f>
        <v>260.51788799999997</v>
      </c>
    </row>
    <row r="124" spans="1:10" ht="20.25">
      <c r="A124" s="1220"/>
      <c r="B124" s="1237"/>
      <c r="C124" s="1219"/>
      <c r="D124" s="1220" t="s">
        <v>379</v>
      </c>
      <c r="E124" s="1220" t="s">
        <v>1314</v>
      </c>
      <c r="F124" s="1220"/>
      <c r="G124" s="1220"/>
      <c r="H124" s="1239"/>
      <c r="I124" s="1240" t="s">
        <v>453</v>
      </c>
      <c r="J124" s="1241">
        <f>'[7]KOLOM Print'!J50</f>
        <v>73.727999999999994</v>
      </c>
    </row>
    <row r="125" spans="1:10" ht="20.25">
      <c r="A125" s="1220"/>
      <c r="B125" s="1237"/>
      <c r="C125" s="1219"/>
      <c r="D125" s="1220"/>
      <c r="E125" s="1220"/>
      <c r="F125" s="1220"/>
      <c r="G125" s="1220"/>
      <c r="H125" s="1239"/>
      <c r="I125" s="1240"/>
      <c r="J125" s="1241"/>
    </row>
    <row r="126" spans="1:10" ht="20.25">
      <c r="A126" s="1220"/>
      <c r="B126" s="1237">
        <v>9</v>
      </c>
      <c r="C126" s="1219"/>
      <c r="D126" s="1220" t="s">
        <v>1323</v>
      </c>
      <c r="E126" s="1220"/>
      <c r="F126" s="1220"/>
      <c r="G126" s="1220"/>
      <c r="H126" s="1239"/>
      <c r="I126" s="1240"/>
      <c r="J126" s="1240"/>
    </row>
    <row r="127" spans="1:10" ht="20.25">
      <c r="A127" s="1220"/>
      <c r="B127" s="1237"/>
      <c r="C127" s="1219"/>
      <c r="D127" s="1220" t="s">
        <v>374</v>
      </c>
      <c r="E127" s="1220" t="s">
        <v>1309</v>
      </c>
      <c r="F127" s="1220"/>
      <c r="G127" s="1220"/>
      <c r="H127" s="1239"/>
      <c r="I127" s="1240" t="s">
        <v>406</v>
      </c>
      <c r="J127" s="1241">
        <f>'[7]KOLOM Print'!I51</f>
        <v>2.0735999999999999</v>
      </c>
    </row>
    <row r="128" spans="1:10" ht="20.25">
      <c r="A128" s="1220"/>
      <c r="B128" s="1237"/>
      <c r="C128" s="1219"/>
      <c r="D128" s="1220" t="s">
        <v>376</v>
      </c>
      <c r="E128" s="1220" t="s">
        <v>1310</v>
      </c>
      <c r="F128" s="1220"/>
      <c r="G128" s="1220"/>
      <c r="H128" s="1239"/>
      <c r="I128" s="1240"/>
      <c r="J128" s="1240"/>
    </row>
    <row r="129" spans="1:10" ht="20.25">
      <c r="A129" s="1220"/>
      <c r="B129" s="1237"/>
      <c r="C129" s="1219"/>
      <c r="D129" s="1220"/>
      <c r="E129" s="1220" t="s">
        <v>1317</v>
      </c>
      <c r="F129" s="1220"/>
      <c r="G129" s="1220"/>
      <c r="H129" s="1239"/>
      <c r="I129" s="1240" t="s">
        <v>1312</v>
      </c>
      <c r="J129" s="1241">
        <f>'[7]KOLOM Print'!AP51</f>
        <v>297.62957866666665</v>
      </c>
    </row>
    <row r="130" spans="1:10" ht="20.25">
      <c r="A130" s="1220"/>
      <c r="B130" s="1237"/>
      <c r="C130" s="1219"/>
      <c r="D130" s="1220"/>
      <c r="E130" s="1220" t="s">
        <v>1313</v>
      </c>
      <c r="F130" s="1220"/>
      <c r="G130" s="1220"/>
      <c r="H130" s="1239"/>
      <c r="I130" s="1240" t="s">
        <v>1312</v>
      </c>
      <c r="J130" s="1241">
        <f>'[7]KOLOM Print'!AR51</f>
        <v>48.079872000000002</v>
      </c>
    </row>
    <row r="131" spans="1:10" ht="20.25">
      <c r="A131" s="1220"/>
      <c r="B131" s="1237"/>
      <c r="C131" s="1219"/>
      <c r="D131" s="1220" t="s">
        <v>379</v>
      </c>
      <c r="E131" s="1220" t="s">
        <v>1314</v>
      </c>
      <c r="F131" s="1220"/>
      <c r="G131" s="1220"/>
      <c r="H131" s="1239"/>
      <c r="I131" s="1240" t="s">
        <v>453</v>
      </c>
      <c r="J131" s="1241">
        <f>'[7]KOLOM Print'!J51</f>
        <v>13.824</v>
      </c>
    </row>
    <row r="132" spans="1:10" ht="20.25">
      <c r="A132" s="1220"/>
      <c r="B132" s="1237"/>
      <c r="C132" s="1219"/>
      <c r="D132" s="1220"/>
      <c r="E132" s="1220"/>
      <c r="F132" s="1220"/>
      <c r="G132" s="1220"/>
      <c r="H132" s="1239"/>
      <c r="I132" s="1240"/>
      <c r="J132" s="1240"/>
    </row>
    <row r="133" spans="1:10" ht="20.25">
      <c r="A133" s="1220"/>
      <c r="B133" s="1237">
        <v>10</v>
      </c>
      <c r="C133" s="1219"/>
      <c r="D133" s="1220" t="s">
        <v>1324</v>
      </c>
      <c r="E133" s="1220"/>
      <c r="F133" s="1220"/>
      <c r="G133" s="1220"/>
      <c r="H133" s="1239"/>
      <c r="I133" s="1240"/>
      <c r="J133" s="1240"/>
    </row>
    <row r="134" spans="1:10" ht="20.25">
      <c r="A134" s="1220"/>
      <c r="B134" s="1237"/>
      <c r="C134" s="1219"/>
      <c r="D134" s="1220" t="s">
        <v>374</v>
      </c>
      <c r="E134" s="1220" t="s">
        <v>1309</v>
      </c>
      <c r="F134" s="1220"/>
      <c r="G134" s="1220"/>
      <c r="H134" s="1239"/>
      <c r="I134" s="1240" t="s">
        <v>406</v>
      </c>
      <c r="J134" s="1241">
        <f>'[7]KOLOM Print'!I52</f>
        <v>15.552</v>
      </c>
    </row>
    <row r="135" spans="1:10" ht="20.25">
      <c r="A135" s="1220"/>
      <c r="B135" s="1237"/>
      <c r="C135" s="1219"/>
      <c r="D135" s="1220" t="s">
        <v>376</v>
      </c>
      <c r="E135" s="1220" t="s">
        <v>1310</v>
      </c>
      <c r="F135" s="1220"/>
      <c r="G135" s="1220"/>
      <c r="H135" s="1239"/>
      <c r="I135" s="1240"/>
      <c r="J135" s="1240"/>
    </row>
    <row r="136" spans="1:10" ht="20.25">
      <c r="A136" s="1220"/>
      <c r="B136" s="1237"/>
      <c r="C136" s="1219"/>
      <c r="D136" s="1220"/>
      <c r="E136" s="1220" t="s">
        <v>1317</v>
      </c>
      <c r="F136" s="1220"/>
      <c r="G136" s="1220"/>
      <c r="H136" s="1239"/>
      <c r="I136" s="1240" t="s">
        <v>1312</v>
      </c>
      <c r="J136" s="1241">
        <f>'[7]KOLOM Print'!AP52</f>
        <v>2790.2772999999997</v>
      </c>
    </row>
    <row r="137" spans="1:10" ht="20.25">
      <c r="A137" s="1220"/>
      <c r="B137" s="1237"/>
      <c r="C137" s="1219"/>
      <c r="D137" s="1220"/>
      <c r="E137" s="1220" t="s">
        <v>1313</v>
      </c>
      <c r="F137" s="1220"/>
      <c r="G137" s="1220"/>
      <c r="H137" s="1239"/>
      <c r="I137" s="1240" t="s">
        <v>1312</v>
      </c>
      <c r="J137" s="1241">
        <f>'[7]KOLOM Print'!AR52</f>
        <v>360.59904</v>
      </c>
    </row>
    <row r="138" spans="1:10" ht="20.25">
      <c r="A138" s="1220"/>
      <c r="B138" s="1237"/>
      <c r="C138" s="1219"/>
      <c r="D138" s="1220" t="s">
        <v>379</v>
      </c>
      <c r="E138" s="1220" t="s">
        <v>1314</v>
      </c>
      <c r="F138" s="1220"/>
      <c r="G138" s="1220"/>
      <c r="H138" s="1239"/>
      <c r="I138" s="1240" t="s">
        <v>453</v>
      </c>
      <c r="J138" s="1241">
        <f>'[7]KOLOM Print'!J52</f>
        <v>103.67999999999999</v>
      </c>
    </row>
    <row r="139" spans="1:10" ht="20.25">
      <c r="A139" s="1220"/>
      <c r="B139" s="1237"/>
      <c r="C139" s="1219"/>
      <c r="D139" s="1220"/>
      <c r="E139" s="1220"/>
      <c r="F139" s="1220"/>
      <c r="G139" s="1220"/>
      <c r="H139" s="1239"/>
      <c r="I139" s="1240"/>
      <c r="J139" s="1240"/>
    </row>
    <row r="140" spans="1:10" ht="20.25">
      <c r="A140" s="1220"/>
      <c r="B140" s="1255"/>
      <c r="C140" s="1219"/>
      <c r="D140" s="1238" t="s">
        <v>948</v>
      </c>
      <c r="E140" s="1220"/>
      <c r="F140" s="1220"/>
      <c r="G140" s="1220"/>
      <c r="H140" s="1239"/>
      <c r="I140" s="1240"/>
      <c r="J140" s="1240"/>
    </row>
    <row r="141" spans="1:10" ht="20.25">
      <c r="A141" s="1219"/>
      <c r="B141" s="1237">
        <v>1</v>
      </c>
      <c r="C141" s="1220" t="s">
        <v>1308</v>
      </c>
      <c r="D141" s="1220"/>
      <c r="E141" s="1220"/>
      <c r="F141" s="1220"/>
      <c r="G141" s="1220"/>
      <c r="H141" s="1221"/>
      <c r="I141" s="1240"/>
      <c r="J141" s="1240"/>
    </row>
    <row r="142" spans="1:10" ht="20.25">
      <c r="A142" s="1219"/>
      <c r="B142" s="1237"/>
      <c r="C142" s="1220" t="s">
        <v>374</v>
      </c>
      <c r="D142" s="1220"/>
      <c r="E142" s="1220" t="s">
        <v>1309</v>
      </c>
      <c r="F142" s="1220"/>
      <c r="G142" s="1220"/>
      <c r="H142" s="1221"/>
      <c r="I142" s="1240" t="s">
        <v>406</v>
      </c>
      <c r="J142" s="1241">
        <f>'[7]KOLOM Print'!I60*2</f>
        <v>79.315200000000004</v>
      </c>
    </row>
    <row r="143" spans="1:10" ht="20.25">
      <c r="A143" s="1219"/>
      <c r="B143" s="1237"/>
      <c r="C143" s="1220" t="s">
        <v>376</v>
      </c>
      <c r="D143" s="1220"/>
      <c r="E143" s="1220" t="s">
        <v>1310</v>
      </c>
      <c r="F143" s="1220"/>
      <c r="G143" s="1220"/>
      <c r="H143" s="1221"/>
      <c r="I143" s="1240"/>
      <c r="J143" s="1240"/>
    </row>
    <row r="144" spans="1:10" ht="20.25">
      <c r="A144" s="1219"/>
      <c r="B144" s="1237"/>
      <c r="C144" s="1220"/>
      <c r="D144" s="1220"/>
      <c r="E144" s="1220" t="s">
        <v>1311</v>
      </c>
      <c r="F144" s="1220"/>
      <c r="G144" s="1220"/>
      <c r="H144" s="1221"/>
      <c r="I144" s="1240" t="s">
        <v>1312</v>
      </c>
      <c r="J144" s="1241">
        <f>'[7]KOLOM Print'!AP60*2</f>
        <v>11924.791666666666</v>
      </c>
    </row>
    <row r="145" spans="1:10" ht="20.25">
      <c r="A145" s="1219"/>
      <c r="B145" s="1237"/>
      <c r="C145" s="1220"/>
      <c r="D145" s="1220"/>
      <c r="E145" s="1220" t="s">
        <v>1313</v>
      </c>
      <c r="F145" s="1220"/>
      <c r="G145" s="1220"/>
      <c r="H145" s="1221"/>
      <c r="I145" s="1240" t="s">
        <v>1312</v>
      </c>
      <c r="J145" s="1241">
        <f>'[7]KOLOM Print'!AR60*2</f>
        <v>3363.7888439999997</v>
      </c>
    </row>
    <row r="146" spans="1:10" ht="20.25">
      <c r="A146" s="1219"/>
      <c r="B146" s="1237"/>
      <c r="C146" s="1220" t="s">
        <v>379</v>
      </c>
      <c r="D146" s="1220"/>
      <c r="E146" s="1220" t="s">
        <v>1314</v>
      </c>
      <c r="F146" s="1220"/>
      <c r="G146" s="1220"/>
      <c r="H146" s="1221"/>
      <c r="I146" s="1240" t="s">
        <v>453</v>
      </c>
      <c r="J146" s="1241">
        <f>'[7]KOLOM Print'!J60*2</f>
        <v>352.512</v>
      </c>
    </row>
    <row r="147" spans="1:10" ht="20.25">
      <c r="A147" s="1219"/>
      <c r="B147" s="1237"/>
      <c r="C147" s="1220"/>
      <c r="D147" s="1220"/>
      <c r="E147" s="1220"/>
      <c r="F147" s="1220"/>
      <c r="G147" s="1220"/>
      <c r="H147" s="1221"/>
      <c r="I147" s="1240"/>
      <c r="J147" s="1240"/>
    </row>
    <row r="148" spans="1:10" ht="20.25">
      <c r="A148" s="1219"/>
      <c r="B148" s="1237">
        <v>2</v>
      </c>
      <c r="C148" s="1220" t="s">
        <v>1315</v>
      </c>
      <c r="D148" s="1220"/>
      <c r="E148" s="1220"/>
      <c r="F148" s="1220"/>
      <c r="G148" s="1220"/>
      <c r="H148" s="1221"/>
      <c r="I148" s="1240"/>
      <c r="J148" s="1240"/>
    </row>
    <row r="149" spans="1:10" ht="20.25">
      <c r="A149" s="1219"/>
      <c r="B149" s="1237"/>
      <c r="C149" s="1220" t="s">
        <v>374</v>
      </c>
      <c r="D149" s="1220"/>
      <c r="E149" s="1220" t="s">
        <v>1309</v>
      </c>
      <c r="F149" s="1220"/>
      <c r="G149" s="1220"/>
      <c r="H149" s="1221"/>
      <c r="I149" s="1240" t="s">
        <v>406</v>
      </c>
      <c r="J149" s="1241">
        <f>'[7]KOLOM Print'!I61*2</f>
        <v>23.04</v>
      </c>
    </row>
    <row r="150" spans="1:10" ht="20.25">
      <c r="A150" s="1219"/>
      <c r="B150" s="1237"/>
      <c r="C150" s="1220" t="s">
        <v>376</v>
      </c>
      <c r="D150" s="1220"/>
      <c r="E150" s="1220" t="s">
        <v>1310</v>
      </c>
      <c r="F150" s="1220"/>
      <c r="G150" s="1220"/>
      <c r="H150" s="1221"/>
      <c r="I150" s="1240"/>
      <c r="J150" s="1240"/>
    </row>
    <row r="151" spans="1:10" ht="20.25">
      <c r="A151" s="1219"/>
      <c r="B151" s="1237"/>
      <c r="C151" s="1220"/>
      <c r="D151" s="1220"/>
      <c r="E151" s="1220" t="s">
        <v>1311</v>
      </c>
      <c r="F151" s="1220"/>
      <c r="G151" s="1220"/>
      <c r="H151" s="1221"/>
      <c r="I151" s="1240" t="s">
        <v>1312</v>
      </c>
      <c r="J151" s="1241">
        <f>'[7]KOLOM Print'!AP61*2</f>
        <v>3366.9999999999995</v>
      </c>
    </row>
    <row r="152" spans="1:10" ht="20.25">
      <c r="A152" s="1219"/>
      <c r="B152" s="1237"/>
      <c r="C152" s="1220"/>
      <c r="D152" s="1220"/>
      <c r="E152" s="1220" t="s">
        <v>1313</v>
      </c>
      <c r="F152" s="1220"/>
      <c r="G152" s="1220"/>
      <c r="H152" s="1221"/>
      <c r="I152" s="1240" t="s">
        <v>1312</v>
      </c>
      <c r="J152" s="1241">
        <f>'[7]KOLOM Print'!AR61*2</f>
        <v>881.52292799999975</v>
      </c>
    </row>
    <row r="153" spans="1:10" ht="20.25">
      <c r="A153" s="1219"/>
      <c r="B153" s="1237"/>
      <c r="C153" s="1220" t="s">
        <v>379</v>
      </c>
      <c r="D153" s="1220"/>
      <c r="E153" s="1220" t="s">
        <v>1314</v>
      </c>
      <c r="F153" s="1220"/>
      <c r="G153" s="1220"/>
      <c r="H153" s="1221"/>
      <c r="I153" s="1240" t="s">
        <v>453</v>
      </c>
      <c r="J153" s="1241">
        <f>'[7]KOLOM Print'!J61*2</f>
        <v>92.16</v>
      </c>
    </row>
    <row r="154" spans="1:10" ht="21" thickBot="1">
      <c r="A154" s="1219"/>
      <c r="B154" s="1242"/>
      <c r="C154" s="1244"/>
      <c r="D154" s="1244"/>
      <c r="E154" s="1244"/>
      <c r="F154" s="1244"/>
      <c r="G154" s="1244"/>
      <c r="H154" s="1256"/>
      <c r="I154" s="1246"/>
      <c r="J154" s="1247"/>
    </row>
    <row r="155" spans="1:10" ht="20.25">
      <c r="A155" s="1220"/>
      <c r="B155" s="1248">
        <v>3</v>
      </c>
      <c r="C155" s="1249"/>
      <c r="D155" s="1251" t="s">
        <v>1325</v>
      </c>
      <c r="E155" s="1251"/>
      <c r="F155" s="1251"/>
      <c r="G155" s="1251"/>
      <c r="H155" s="1252"/>
      <c r="I155" s="1253"/>
      <c r="J155" s="1253"/>
    </row>
    <row r="156" spans="1:10" ht="20.25">
      <c r="A156" s="1220"/>
      <c r="B156" s="1237"/>
      <c r="C156" s="1219"/>
      <c r="D156" s="1220" t="s">
        <v>374</v>
      </c>
      <c r="E156" s="1220" t="s">
        <v>1309</v>
      </c>
      <c r="F156" s="1220"/>
      <c r="G156" s="1220"/>
      <c r="H156" s="1239"/>
      <c r="I156" s="1240" t="s">
        <v>406</v>
      </c>
      <c r="J156" s="1241">
        <f>'[7]KOLOM Print'!I62*2</f>
        <v>31.68</v>
      </c>
    </row>
    <row r="157" spans="1:10" ht="20.25">
      <c r="A157" s="1220"/>
      <c r="B157" s="1237"/>
      <c r="C157" s="1219"/>
      <c r="D157" s="1220" t="s">
        <v>376</v>
      </c>
      <c r="E157" s="1220" t="s">
        <v>1310</v>
      </c>
      <c r="F157" s="1220"/>
      <c r="G157" s="1220"/>
      <c r="H157" s="1239"/>
      <c r="I157" s="1240"/>
      <c r="J157" s="1240"/>
    </row>
    <row r="158" spans="1:10" ht="20.25">
      <c r="A158" s="1220"/>
      <c r="B158" s="1237"/>
      <c r="C158" s="1219"/>
      <c r="D158" s="1220"/>
      <c r="E158" s="1220" t="s">
        <v>1317</v>
      </c>
      <c r="F158" s="1220"/>
      <c r="G158" s="1220"/>
      <c r="H158" s="1239"/>
      <c r="I158" s="1240" t="s">
        <v>1312</v>
      </c>
      <c r="J158" s="1241">
        <f>'[7]KOLOM Print'!AP62*2</f>
        <v>2218.3171413333334</v>
      </c>
    </row>
    <row r="159" spans="1:10" ht="20.25">
      <c r="A159" s="1220"/>
      <c r="B159" s="1237"/>
      <c r="C159" s="1219"/>
      <c r="D159" s="1220"/>
      <c r="E159" s="1220" t="s">
        <v>1313</v>
      </c>
      <c r="F159" s="1220"/>
      <c r="G159" s="1220"/>
      <c r="H159" s="1239"/>
      <c r="I159" s="1240" t="s">
        <v>1312</v>
      </c>
      <c r="J159" s="1241">
        <f>'[7]KOLOM Print'!AR62*2</f>
        <v>870.2115839999999</v>
      </c>
    </row>
    <row r="160" spans="1:10" ht="20.25">
      <c r="A160" s="1220"/>
      <c r="B160" s="1237"/>
      <c r="C160" s="1219"/>
      <c r="D160" s="1220" t="s">
        <v>379</v>
      </c>
      <c r="E160" s="1220" t="s">
        <v>1314</v>
      </c>
      <c r="F160" s="1220"/>
      <c r="G160" s="1220"/>
      <c r="H160" s="1239"/>
      <c r="I160" s="1240" t="s">
        <v>453</v>
      </c>
      <c r="J160" s="1241">
        <f>'[7]KOLOM Print'!J62</f>
        <v>126.72</v>
      </c>
    </row>
    <row r="161" spans="1:10" ht="20.25">
      <c r="A161" s="1220"/>
      <c r="B161" s="1237"/>
      <c r="C161" s="1219"/>
      <c r="D161" s="1220"/>
      <c r="E161" s="1220"/>
      <c r="F161" s="1220"/>
      <c r="G161" s="1220"/>
      <c r="H161" s="1239"/>
      <c r="I161" s="1240"/>
      <c r="J161" s="1241"/>
    </row>
    <row r="162" spans="1:10" ht="20.25">
      <c r="A162" s="1220"/>
      <c r="B162" s="1237">
        <v>4</v>
      </c>
      <c r="C162" s="1219"/>
      <c r="D162" s="1220" t="s">
        <v>1318</v>
      </c>
      <c r="E162" s="1220"/>
      <c r="F162" s="1220"/>
      <c r="G162" s="1220"/>
      <c r="H162" s="1239"/>
      <c r="I162" s="1240"/>
      <c r="J162" s="1240"/>
    </row>
    <row r="163" spans="1:10" ht="20.25">
      <c r="A163" s="1220"/>
      <c r="B163" s="1237"/>
      <c r="C163" s="1219"/>
      <c r="D163" s="1220" t="s">
        <v>374</v>
      </c>
      <c r="E163" s="1220" t="s">
        <v>1309</v>
      </c>
      <c r="F163" s="1220"/>
      <c r="G163" s="1220"/>
      <c r="H163" s="1239"/>
      <c r="I163" s="1240" t="s">
        <v>406</v>
      </c>
      <c r="J163" s="1241">
        <f>'[7]KOLOM Print'!I63*2</f>
        <v>9.2159999999999993</v>
      </c>
    </row>
    <row r="164" spans="1:10" ht="20.25">
      <c r="A164" s="1220"/>
      <c r="B164" s="1237"/>
      <c r="C164" s="1219"/>
      <c r="D164" s="1220" t="s">
        <v>376</v>
      </c>
      <c r="E164" s="1220" t="s">
        <v>1310</v>
      </c>
      <c r="F164" s="1220"/>
      <c r="G164" s="1220"/>
      <c r="H164" s="1239"/>
      <c r="I164" s="1240"/>
      <c r="J164" s="1241"/>
    </row>
    <row r="165" spans="1:10" ht="20.25">
      <c r="A165" s="1220"/>
      <c r="B165" s="1237"/>
      <c r="C165" s="1219"/>
      <c r="D165" s="1220"/>
      <c r="E165" s="1220" t="s">
        <v>1317</v>
      </c>
      <c r="F165" s="1220"/>
      <c r="G165" s="1220"/>
      <c r="H165" s="1239"/>
      <c r="I165" s="1240" t="s">
        <v>1312</v>
      </c>
      <c r="J165" s="1241">
        <f>'[7]KOLOM Print'!AP63*2</f>
        <v>1008.3259733333334</v>
      </c>
    </row>
    <row r="166" spans="1:10" ht="20.25">
      <c r="A166" s="1220"/>
      <c r="B166" s="1237"/>
      <c r="C166" s="1219"/>
      <c r="D166" s="1220"/>
      <c r="E166" s="1220" t="s">
        <v>1313</v>
      </c>
      <c r="F166" s="1220"/>
      <c r="G166" s="1220"/>
      <c r="H166" s="1239"/>
      <c r="I166" s="1240" t="s">
        <v>1312</v>
      </c>
      <c r="J166" s="1241">
        <f>'[7]KOLOM Print'!AR63*2</f>
        <v>310.30272000000002</v>
      </c>
    </row>
    <row r="167" spans="1:10" ht="20.25">
      <c r="A167" s="1220"/>
      <c r="B167" s="1237"/>
      <c r="C167" s="1219"/>
      <c r="D167" s="1220" t="s">
        <v>379</v>
      </c>
      <c r="E167" s="1220" t="s">
        <v>1314</v>
      </c>
      <c r="F167" s="1220"/>
      <c r="G167" s="1220"/>
      <c r="H167" s="1239"/>
      <c r="I167" s="1240" t="s">
        <v>453</v>
      </c>
      <c r="J167" s="1241">
        <f>'[7]KOLOM Print'!J63*2</f>
        <v>92.16</v>
      </c>
    </row>
    <row r="168" spans="1:10" ht="20.25">
      <c r="A168" s="1220"/>
      <c r="B168" s="1237">
        <v>5</v>
      </c>
      <c r="C168" s="1219"/>
      <c r="D168" s="1220" t="s">
        <v>1319</v>
      </c>
      <c r="E168" s="1220"/>
      <c r="F168" s="1220"/>
      <c r="G168" s="1220"/>
      <c r="H168" s="1239"/>
      <c r="I168" s="1240"/>
      <c r="J168" s="1241"/>
    </row>
    <row r="169" spans="1:10" ht="20.25">
      <c r="A169" s="1217"/>
      <c r="B169" s="1237"/>
      <c r="C169" s="1219"/>
      <c r="D169" s="1220"/>
      <c r="E169" s="1220"/>
      <c r="F169" s="1220"/>
      <c r="G169" s="1220"/>
      <c r="H169" s="1239"/>
      <c r="I169" s="1240"/>
      <c r="J169" s="1241"/>
    </row>
    <row r="170" spans="1:10" ht="20.25">
      <c r="A170" s="1217"/>
      <c r="B170" s="1237"/>
      <c r="C170" s="1219"/>
      <c r="D170" s="1220" t="s">
        <v>374</v>
      </c>
      <c r="E170" s="1220" t="s">
        <v>1309</v>
      </c>
      <c r="F170" s="1220"/>
      <c r="G170" s="1220"/>
      <c r="H170" s="1239"/>
      <c r="I170" s="1240" t="s">
        <v>406</v>
      </c>
      <c r="J170" s="1241">
        <f>'[7]KOLOM Print'!I64*2</f>
        <v>18.662400000000002</v>
      </c>
    </row>
    <row r="171" spans="1:10" ht="20.25">
      <c r="A171" s="1217"/>
      <c r="B171" s="1237"/>
      <c r="C171" s="1219"/>
      <c r="D171" s="1220" t="s">
        <v>376</v>
      </c>
      <c r="E171" s="1220" t="s">
        <v>1310</v>
      </c>
      <c r="F171" s="1220"/>
      <c r="G171" s="1220"/>
      <c r="H171" s="1239"/>
      <c r="I171" s="1240"/>
      <c r="J171" s="1241"/>
    </row>
    <row r="172" spans="1:10" ht="20.25">
      <c r="A172" s="1217"/>
      <c r="B172" s="1237"/>
      <c r="C172" s="1219"/>
      <c r="D172" s="1220"/>
      <c r="E172" s="1220" t="s">
        <v>1311</v>
      </c>
      <c r="F172" s="1220"/>
      <c r="G172" s="1220"/>
      <c r="H172" s="1239"/>
      <c r="I172" s="1240" t="s">
        <v>1312</v>
      </c>
      <c r="J172" s="1241">
        <f>'[7]KOLOM Print'!AP64*2</f>
        <v>2805.833333333333</v>
      </c>
    </row>
    <row r="173" spans="1:10" ht="20.25">
      <c r="A173" s="1217"/>
      <c r="B173" s="1237"/>
      <c r="C173" s="1219"/>
      <c r="D173" s="1220"/>
      <c r="E173" s="1220" t="s">
        <v>1313</v>
      </c>
      <c r="F173" s="1220"/>
      <c r="G173" s="1220"/>
      <c r="H173" s="1239"/>
      <c r="I173" s="1240" t="s">
        <v>1312</v>
      </c>
      <c r="J173" s="1241">
        <f>'[7]KOLOM Print'!AR64*2</f>
        <v>791.47972799999991</v>
      </c>
    </row>
    <row r="174" spans="1:10" ht="20.25">
      <c r="A174" s="1217"/>
      <c r="B174" s="1237"/>
      <c r="C174" s="1219"/>
      <c r="D174" s="1220" t="s">
        <v>379</v>
      </c>
      <c r="E174" s="1220" t="s">
        <v>1314</v>
      </c>
      <c r="F174" s="1220"/>
      <c r="G174" s="1220"/>
      <c r="H174" s="1239"/>
      <c r="I174" s="1240" t="s">
        <v>453</v>
      </c>
      <c r="J174" s="1241">
        <f>'[7]KOLOM Print'!J64*2</f>
        <v>82.944000000000003</v>
      </c>
    </row>
    <row r="175" spans="1:10" ht="20.25">
      <c r="A175" s="1217"/>
      <c r="B175" s="1237"/>
      <c r="C175" s="1219"/>
      <c r="D175" s="1220"/>
      <c r="E175" s="1220"/>
      <c r="F175" s="1220"/>
      <c r="G175" s="1220"/>
      <c r="H175" s="1239"/>
      <c r="I175" s="1240"/>
      <c r="J175" s="1240"/>
    </row>
    <row r="176" spans="1:10" ht="20.25">
      <c r="A176" s="1217"/>
      <c r="B176" s="1237">
        <v>6</v>
      </c>
      <c r="C176" s="1219"/>
      <c r="D176" s="1220" t="s">
        <v>1320</v>
      </c>
      <c r="E176" s="1220"/>
      <c r="F176" s="1220"/>
      <c r="G176" s="1220"/>
      <c r="H176" s="1239"/>
      <c r="I176" s="1240"/>
      <c r="J176" s="1240"/>
    </row>
    <row r="177" spans="1:10" ht="20.25">
      <c r="A177" s="1217"/>
      <c r="B177" s="1237"/>
      <c r="C177" s="1219"/>
      <c r="D177" s="1220" t="s">
        <v>374</v>
      </c>
      <c r="E177" s="1220" t="s">
        <v>1309</v>
      </c>
      <c r="F177" s="1220"/>
      <c r="G177" s="1220"/>
      <c r="H177" s="1239"/>
      <c r="I177" s="1240" t="s">
        <v>406</v>
      </c>
      <c r="J177" s="1241">
        <f>'[7]KOLOM Print'!I65</f>
        <v>8.9855999999999998</v>
      </c>
    </row>
    <row r="178" spans="1:10" ht="20.25">
      <c r="A178" s="1217"/>
      <c r="B178" s="1237"/>
      <c r="C178" s="1219"/>
      <c r="D178" s="1220" t="s">
        <v>376</v>
      </c>
      <c r="E178" s="1220" t="s">
        <v>1310</v>
      </c>
      <c r="F178" s="1220"/>
      <c r="G178" s="1220"/>
      <c r="H178" s="1239"/>
      <c r="I178" s="1240"/>
      <c r="J178" s="1240"/>
    </row>
    <row r="179" spans="1:10" ht="20.25">
      <c r="A179" s="1217"/>
      <c r="B179" s="1237"/>
      <c r="C179" s="1219"/>
      <c r="D179" s="1220"/>
      <c r="E179" s="1220" t="s">
        <v>1311</v>
      </c>
      <c r="F179" s="1220"/>
      <c r="G179" s="1220"/>
      <c r="H179" s="1239"/>
      <c r="I179" s="1240" t="s">
        <v>1312</v>
      </c>
      <c r="J179" s="1241">
        <f>'[7]KOLOM Print'!AP65*2</f>
        <v>2244.6666666666665</v>
      </c>
    </row>
    <row r="180" spans="1:10" ht="20.25">
      <c r="A180" s="1217"/>
      <c r="B180" s="1237"/>
      <c r="C180" s="1219"/>
      <c r="D180" s="1220"/>
      <c r="E180" s="1220" t="s">
        <v>1313</v>
      </c>
      <c r="F180" s="1220"/>
      <c r="G180" s="1220"/>
      <c r="H180" s="1239"/>
      <c r="I180" s="1240" t="s">
        <v>1312</v>
      </c>
      <c r="J180" s="1241">
        <f>'[7]KOLOM Print'!AR65*2</f>
        <v>553.31546399999991</v>
      </c>
    </row>
    <row r="181" spans="1:10" ht="20.25">
      <c r="A181" s="1220"/>
      <c r="B181" s="1237"/>
      <c r="C181" s="1219"/>
      <c r="D181" s="1220" t="s">
        <v>379</v>
      </c>
      <c r="E181" s="1220" t="s">
        <v>1314</v>
      </c>
      <c r="F181" s="1220"/>
      <c r="G181" s="1220"/>
      <c r="H181" s="1239"/>
      <c r="I181" s="1240" t="s">
        <v>453</v>
      </c>
      <c r="J181" s="1241">
        <f>'[7]KOLOM Print'!J65*2</f>
        <v>57.599999999999994</v>
      </c>
    </row>
    <row r="182" spans="1:10" ht="20.25">
      <c r="A182" s="1220"/>
      <c r="B182" s="1237"/>
      <c r="C182" s="1219"/>
      <c r="D182" s="1220"/>
      <c r="E182" s="1220"/>
      <c r="F182" s="1220"/>
      <c r="G182" s="1220"/>
      <c r="H182" s="1239"/>
      <c r="I182" s="1240"/>
      <c r="J182" s="1240"/>
    </row>
    <row r="183" spans="1:10" ht="20.25">
      <c r="A183" s="1220"/>
      <c r="B183" s="1237">
        <v>8</v>
      </c>
      <c r="C183" s="1219"/>
      <c r="D183" s="1220" t="s">
        <v>1322</v>
      </c>
      <c r="E183" s="1220"/>
      <c r="F183" s="1220"/>
      <c r="G183" s="1220"/>
      <c r="H183" s="1239"/>
      <c r="I183" s="1240"/>
      <c r="J183" s="1240"/>
    </row>
    <row r="184" spans="1:10" ht="20.25">
      <c r="A184" s="1220"/>
      <c r="B184" s="1237"/>
      <c r="C184" s="1219"/>
      <c r="D184" s="1220" t="s">
        <v>374</v>
      </c>
      <c r="E184" s="1220" t="s">
        <v>1309</v>
      </c>
      <c r="F184" s="1220"/>
      <c r="G184" s="1220"/>
      <c r="H184" s="1239"/>
      <c r="I184" s="1240" t="s">
        <v>406</v>
      </c>
      <c r="J184" s="1241">
        <f>'[7]KOLOM Print'!I66*2</f>
        <v>29.491199999999999</v>
      </c>
    </row>
    <row r="185" spans="1:10" ht="20.25">
      <c r="A185" s="1220"/>
      <c r="B185" s="1237"/>
      <c r="C185" s="1219"/>
      <c r="D185" s="1220" t="s">
        <v>376</v>
      </c>
      <c r="E185" s="1220" t="s">
        <v>1310</v>
      </c>
      <c r="F185" s="1220"/>
      <c r="G185" s="1220"/>
      <c r="H185" s="1239"/>
      <c r="I185" s="1240"/>
      <c r="J185" s="1240"/>
    </row>
    <row r="186" spans="1:10" ht="20.25">
      <c r="A186" s="1220"/>
      <c r="B186" s="1237"/>
      <c r="C186" s="1219"/>
      <c r="D186" s="1220"/>
      <c r="E186" s="1220" t="s">
        <v>1317</v>
      </c>
      <c r="F186" s="1220"/>
      <c r="G186" s="1220"/>
      <c r="H186" s="1239"/>
      <c r="I186" s="1240" t="s">
        <v>1312</v>
      </c>
      <c r="J186" s="1241">
        <f>'[7]KOLOM Print'!AP66*2</f>
        <v>4489.333333333333</v>
      </c>
    </row>
    <row r="187" spans="1:10" ht="20.25">
      <c r="A187" s="1220"/>
      <c r="B187" s="1237"/>
      <c r="C187" s="1219"/>
      <c r="D187" s="1220"/>
      <c r="E187" s="1220" t="s">
        <v>1313</v>
      </c>
      <c r="F187" s="1220"/>
      <c r="G187" s="1220"/>
      <c r="H187" s="1239"/>
      <c r="I187" s="1240" t="s">
        <v>1312</v>
      </c>
      <c r="J187" s="1241">
        <f>'[7]KOLOM Print'!AR66*2</f>
        <v>521.03577599999994</v>
      </c>
    </row>
    <row r="188" spans="1:10" ht="20.25">
      <c r="A188" s="1220"/>
      <c r="B188" s="1237"/>
      <c r="C188" s="1219"/>
      <c r="D188" s="1220" t="s">
        <v>379</v>
      </c>
      <c r="E188" s="1220" t="s">
        <v>1314</v>
      </c>
      <c r="F188" s="1220"/>
      <c r="G188" s="1220"/>
      <c r="H188" s="1239"/>
      <c r="I188" s="1240" t="s">
        <v>453</v>
      </c>
      <c r="J188" s="1241">
        <f>'[7]KOLOM Print'!J66*2</f>
        <v>147.45599999999999</v>
      </c>
    </row>
    <row r="189" spans="1:10" ht="20.25">
      <c r="A189" s="1220"/>
      <c r="B189" s="1237"/>
      <c r="C189" s="1219"/>
      <c r="D189" s="1220"/>
      <c r="E189" s="1220"/>
      <c r="F189" s="1220"/>
      <c r="G189" s="1220"/>
      <c r="H189" s="1239"/>
      <c r="I189" s="1240"/>
      <c r="J189" s="1241"/>
    </row>
    <row r="190" spans="1:10" ht="20.25">
      <c r="A190" s="1220"/>
      <c r="B190" s="1237">
        <v>9</v>
      </c>
      <c r="C190" s="1219"/>
      <c r="D190" s="1220" t="s">
        <v>1323</v>
      </c>
      <c r="E190" s="1220"/>
      <c r="F190" s="1220"/>
      <c r="G190" s="1220"/>
      <c r="H190" s="1239"/>
      <c r="I190" s="1240"/>
      <c r="J190" s="1240"/>
    </row>
    <row r="191" spans="1:10" ht="20.25">
      <c r="A191" s="1220"/>
      <c r="B191" s="1237"/>
      <c r="C191" s="1219"/>
      <c r="D191" s="1220" t="s">
        <v>374</v>
      </c>
      <c r="E191" s="1220" t="s">
        <v>1309</v>
      </c>
      <c r="F191" s="1220"/>
      <c r="G191" s="1220"/>
      <c r="H191" s="1239"/>
      <c r="I191" s="1240" t="s">
        <v>406</v>
      </c>
      <c r="J191" s="1241">
        <f>'[7]KOLOM Print'!I67*2</f>
        <v>4.1471999999999998</v>
      </c>
    </row>
    <row r="192" spans="1:10" ht="20.25">
      <c r="A192" s="1220"/>
      <c r="B192" s="1237"/>
      <c r="C192" s="1219"/>
      <c r="D192" s="1220" t="s">
        <v>376</v>
      </c>
      <c r="E192" s="1220" t="s">
        <v>1310</v>
      </c>
      <c r="F192" s="1220"/>
      <c r="G192" s="1220"/>
      <c r="H192" s="1239"/>
      <c r="I192" s="1240"/>
      <c r="J192" s="1240"/>
    </row>
    <row r="193" spans="1:10" ht="20.25">
      <c r="A193" s="1220"/>
      <c r="B193" s="1237"/>
      <c r="C193" s="1219"/>
      <c r="D193" s="1220"/>
      <c r="E193" s="1220" t="s">
        <v>1317</v>
      </c>
      <c r="F193" s="1220"/>
      <c r="G193" s="1220"/>
      <c r="H193" s="1239"/>
      <c r="I193" s="1240" t="s">
        <v>1312</v>
      </c>
      <c r="J193" s="1241">
        <f>'[7]KOLOM Print'!AP67*2</f>
        <v>595.25915733333329</v>
      </c>
    </row>
    <row r="194" spans="1:10" ht="20.25">
      <c r="A194" s="1220"/>
      <c r="B194" s="1237"/>
      <c r="C194" s="1219"/>
      <c r="D194" s="1220"/>
      <c r="E194" s="1220" t="s">
        <v>1313</v>
      </c>
      <c r="F194" s="1220"/>
      <c r="G194" s="1220"/>
      <c r="H194" s="1239"/>
      <c r="I194" s="1240" t="s">
        <v>1312</v>
      </c>
      <c r="J194" s="1241">
        <f>'[7]KOLOM Print'!AR67*2</f>
        <v>96.159744000000003</v>
      </c>
    </row>
    <row r="195" spans="1:10" ht="20.25">
      <c r="A195" s="1220"/>
      <c r="B195" s="1237"/>
      <c r="C195" s="1219"/>
      <c r="D195" s="1220" t="s">
        <v>379</v>
      </c>
      <c r="E195" s="1220" t="s">
        <v>1314</v>
      </c>
      <c r="F195" s="1220"/>
      <c r="G195" s="1220"/>
      <c r="H195" s="1239"/>
      <c r="I195" s="1240" t="s">
        <v>453</v>
      </c>
      <c r="J195" s="1241">
        <f>'[7]KOLOM Print'!J67*2</f>
        <v>27.648</v>
      </c>
    </row>
    <row r="196" spans="1:10" ht="20.25">
      <c r="A196" s="1220"/>
      <c r="B196" s="1237"/>
      <c r="C196" s="1219"/>
      <c r="D196" s="1220"/>
      <c r="E196" s="1220"/>
      <c r="F196" s="1220"/>
      <c r="G196" s="1220"/>
      <c r="H196" s="1239"/>
      <c r="I196" s="1240"/>
      <c r="J196" s="1240"/>
    </row>
    <row r="197" spans="1:10" ht="20.25">
      <c r="A197" s="1220"/>
      <c r="B197" s="1237">
        <v>10</v>
      </c>
      <c r="C197" s="1219"/>
      <c r="D197" s="1220" t="s">
        <v>1324</v>
      </c>
      <c r="E197" s="1220"/>
      <c r="F197" s="1220"/>
      <c r="G197" s="1220"/>
      <c r="H197" s="1239"/>
      <c r="I197" s="1240"/>
      <c r="J197" s="1240"/>
    </row>
    <row r="198" spans="1:10" ht="20.25">
      <c r="A198" s="1220"/>
      <c r="B198" s="1237"/>
      <c r="C198" s="1219"/>
      <c r="D198" s="1220" t="s">
        <v>374</v>
      </c>
      <c r="E198" s="1220" t="s">
        <v>1309</v>
      </c>
      <c r="F198" s="1220"/>
      <c r="G198" s="1220"/>
      <c r="H198" s="1239"/>
      <c r="I198" s="1240" t="s">
        <v>406</v>
      </c>
      <c r="J198" s="1241">
        <f>'[7]KOLOM Print'!I68*2</f>
        <v>31.103999999999999</v>
      </c>
    </row>
    <row r="199" spans="1:10" ht="20.25">
      <c r="A199" s="1220"/>
      <c r="B199" s="1237"/>
      <c r="C199" s="1219"/>
      <c r="D199" s="1220" t="s">
        <v>376</v>
      </c>
      <c r="E199" s="1220" t="s">
        <v>1310</v>
      </c>
      <c r="F199" s="1220"/>
      <c r="G199" s="1220"/>
      <c r="H199" s="1239"/>
      <c r="I199" s="1240"/>
      <c r="J199" s="1240"/>
    </row>
    <row r="200" spans="1:10" ht="20.25">
      <c r="A200" s="1220"/>
      <c r="B200" s="1237"/>
      <c r="C200" s="1219"/>
      <c r="D200" s="1220"/>
      <c r="E200" s="1220" t="s">
        <v>1317</v>
      </c>
      <c r="F200" s="1220"/>
      <c r="G200" s="1220"/>
      <c r="H200" s="1239"/>
      <c r="I200" s="1240" t="s">
        <v>1312</v>
      </c>
      <c r="J200" s="1241">
        <f>'[7]KOLOM Print'!AP68*2</f>
        <v>5580.5545999999995</v>
      </c>
    </row>
    <row r="201" spans="1:10" ht="20.25">
      <c r="A201" s="1220"/>
      <c r="B201" s="1237"/>
      <c r="C201" s="1219"/>
      <c r="D201" s="1220"/>
      <c r="E201" s="1220" t="s">
        <v>1313</v>
      </c>
      <c r="F201" s="1220"/>
      <c r="G201" s="1220"/>
      <c r="H201" s="1239"/>
      <c r="I201" s="1240" t="s">
        <v>1312</v>
      </c>
      <c r="J201" s="1241">
        <f>'[7]KOLOM Print'!AR68*2</f>
        <v>721.19808</v>
      </c>
    </row>
    <row r="202" spans="1:10" ht="20.25">
      <c r="A202" s="1220"/>
      <c r="B202" s="1257"/>
      <c r="C202" s="1219"/>
      <c r="D202" s="1220" t="s">
        <v>379</v>
      </c>
      <c r="E202" s="1220" t="s">
        <v>1314</v>
      </c>
      <c r="F202" s="1220"/>
      <c r="G202" s="1220"/>
      <c r="H202" s="1239"/>
      <c r="I202" s="1240" t="s">
        <v>453</v>
      </c>
      <c r="J202" s="1241">
        <f>'[7]KOLOM Print'!J68*2</f>
        <v>207.35999999999999</v>
      </c>
    </row>
    <row r="203" spans="1:10" ht="20.25">
      <c r="A203" s="1220"/>
      <c r="B203" s="1257"/>
      <c r="C203" s="1219"/>
      <c r="D203" s="1220"/>
      <c r="E203" s="1220"/>
      <c r="F203" s="1220"/>
      <c r="G203" s="1220"/>
      <c r="H203" s="1239"/>
      <c r="I203" s="1240"/>
      <c r="J203" s="1240"/>
    </row>
    <row r="204" spans="1:10" ht="20.25">
      <c r="A204" s="1220"/>
      <c r="B204" s="1257"/>
      <c r="C204" s="1258"/>
      <c r="D204" s="1238" t="s">
        <v>389</v>
      </c>
      <c r="E204" s="1220"/>
      <c r="F204" s="1220"/>
      <c r="G204" s="1220"/>
      <c r="H204" s="1239"/>
      <c r="I204" s="1240"/>
      <c r="J204" s="1240"/>
    </row>
    <row r="205" spans="1:10" ht="20.25">
      <c r="A205" s="1220"/>
      <c r="B205" s="1257">
        <v>1</v>
      </c>
      <c r="C205" s="1220" t="s">
        <v>1308</v>
      </c>
      <c r="D205" s="1220"/>
      <c r="E205" s="1220"/>
      <c r="F205" s="1220"/>
      <c r="G205" s="1220"/>
      <c r="H205" s="1221"/>
      <c r="I205" s="1240"/>
      <c r="J205" s="1240"/>
    </row>
    <row r="206" spans="1:10" ht="20.25">
      <c r="A206" s="1220"/>
      <c r="B206" s="1257"/>
      <c r="C206" s="1220" t="s">
        <v>374</v>
      </c>
      <c r="D206" s="1220"/>
      <c r="E206" s="1220" t="s">
        <v>1309</v>
      </c>
      <c r="F206" s="1220"/>
      <c r="G206" s="1220"/>
      <c r="H206" s="1221"/>
      <c r="I206" s="1240" t="s">
        <v>406</v>
      </c>
      <c r="J206" s="1241">
        <f>'[7]KOLOM Print'!I92</f>
        <v>17.625599999999999</v>
      </c>
    </row>
    <row r="207" spans="1:10" ht="20.25">
      <c r="A207" s="1220"/>
      <c r="B207" s="1257"/>
      <c r="C207" s="1220" t="s">
        <v>376</v>
      </c>
      <c r="D207" s="1220"/>
      <c r="E207" s="1220" t="s">
        <v>1310</v>
      </c>
      <c r="F207" s="1220"/>
      <c r="G207" s="1220"/>
      <c r="H207" s="1221"/>
      <c r="I207" s="1240"/>
      <c r="J207" s="1240"/>
    </row>
    <row r="208" spans="1:10" ht="20.25">
      <c r="A208" s="1220"/>
      <c r="B208" s="1257"/>
      <c r="C208" s="1220"/>
      <c r="D208" s="1220"/>
      <c r="E208" s="1220" t="s">
        <v>1311</v>
      </c>
      <c r="F208" s="1220"/>
      <c r="G208" s="1220"/>
      <c r="H208" s="1221"/>
      <c r="I208" s="1240" t="s">
        <v>1312</v>
      </c>
      <c r="J208" s="1241">
        <f>'[7]KOLOM Print'!AP92</f>
        <v>4769.9166666666661</v>
      </c>
    </row>
    <row r="209" spans="1:10" ht="20.25">
      <c r="A209" s="1220"/>
      <c r="B209" s="1257"/>
      <c r="C209" s="1220"/>
      <c r="D209" s="1220"/>
      <c r="E209" s="1220" t="s">
        <v>1313</v>
      </c>
      <c r="F209" s="1220"/>
      <c r="G209" s="1220"/>
      <c r="H209" s="1221"/>
      <c r="I209" s="1240" t="s">
        <v>1312</v>
      </c>
      <c r="J209" s="1241">
        <f>'[7]KOLOM Print'!AR93</f>
        <v>440.76146399999988</v>
      </c>
    </row>
    <row r="210" spans="1:10" ht="20.25">
      <c r="A210" s="1220"/>
      <c r="B210" s="1257"/>
      <c r="C210" s="1220" t="s">
        <v>379</v>
      </c>
      <c r="D210" s="1220"/>
      <c r="E210" s="1220" t="s">
        <v>1314</v>
      </c>
      <c r="F210" s="1220"/>
      <c r="G210" s="1220"/>
      <c r="H210" s="1221"/>
      <c r="I210" s="1240" t="s">
        <v>453</v>
      </c>
      <c r="J210" s="1241">
        <f>'[7]KOLOM Print'!J92</f>
        <v>117.504</v>
      </c>
    </row>
    <row r="211" spans="1:10" ht="20.25">
      <c r="A211" s="1220"/>
      <c r="B211" s="1257"/>
      <c r="C211" s="1219"/>
      <c r="D211" s="1220"/>
      <c r="E211" s="1220"/>
      <c r="F211" s="1220"/>
      <c r="G211" s="1220"/>
      <c r="H211" s="1239"/>
      <c r="I211" s="1240"/>
      <c r="J211" s="1240"/>
    </row>
    <row r="212" spans="1:10" ht="20.25">
      <c r="A212" s="1220"/>
      <c r="B212" s="1257">
        <v>2</v>
      </c>
      <c r="C212" s="1220" t="s">
        <v>1315</v>
      </c>
      <c r="D212" s="1220"/>
      <c r="E212" s="1220"/>
      <c r="F212" s="1220"/>
      <c r="G212" s="1220"/>
      <c r="H212" s="1221"/>
      <c r="I212" s="1240"/>
      <c r="J212" s="1240"/>
    </row>
    <row r="213" spans="1:10" ht="20.25">
      <c r="A213" s="1220"/>
      <c r="B213" s="1257"/>
      <c r="C213" s="1220" t="s">
        <v>374</v>
      </c>
      <c r="D213" s="1220"/>
      <c r="E213" s="1220" t="s">
        <v>1309</v>
      </c>
      <c r="F213" s="1220"/>
      <c r="G213" s="1220"/>
      <c r="H213" s="1221"/>
      <c r="I213" s="1240" t="s">
        <v>406</v>
      </c>
      <c r="J213" s="1241">
        <f>'[7]KOLOM Print'!I93</f>
        <v>11.52</v>
      </c>
    </row>
    <row r="214" spans="1:10" ht="20.25">
      <c r="A214" s="1220"/>
      <c r="B214" s="1257"/>
      <c r="C214" s="1220" t="s">
        <v>376</v>
      </c>
      <c r="D214" s="1220"/>
      <c r="E214" s="1220" t="s">
        <v>1310</v>
      </c>
      <c r="F214" s="1220"/>
      <c r="G214" s="1220"/>
      <c r="H214" s="1221"/>
      <c r="I214" s="1240"/>
      <c r="J214" s="1240"/>
    </row>
    <row r="215" spans="1:10" ht="20.25">
      <c r="A215" s="1220"/>
      <c r="B215" s="1257"/>
      <c r="C215" s="1220"/>
      <c r="D215" s="1220"/>
      <c r="E215" s="1220" t="s">
        <v>1311</v>
      </c>
      <c r="F215" s="1220"/>
      <c r="G215" s="1220"/>
      <c r="H215" s="1221"/>
      <c r="I215" s="1240" t="s">
        <v>1312</v>
      </c>
      <c r="J215" s="1241">
        <f>'[7]KOLOM Print'!AP93</f>
        <v>1683.4999999999998</v>
      </c>
    </row>
    <row r="216" spans="1:10" ht="20.25">
      <c r="A216" s="1220"/>
      <c r="B216" s="1257"/>
      <c r="C216" s="1220"/>
      <c r="D216" s="1220"/>
      <c r="E216" s="1220" t="s">
        <v>1313</v>
      </c>
      <c r="F216" s="1220"/>
      <c r="G216" s="1220"/>
      <c r="H216" s="1221"/>
      <c r="I216" s="1240" t="s">
        <v>1312</v>
      </c>
      <c r="J216" s="1241">
        <f>'[7]KOLOM Print'!AR93</f>
        <v>440.76146399999988</v>
      </c>
    </row>
    <row r="217" spans="1:10" ht="20.25">
      <c r="A217" s="1220"/>
      <c r="B217" s="1257"/>
      <c r="C217" s="1220" t="s">
        <v>379</v>
      </c>
      <c r="D217" s="1220"/>
      <c r="E217" s="1220" t="s">
        <v>1314</v>
      </c>
      <c r="F217" s="1220"/>
      <c r="G217" s="1220"/>
      <c r="H217" s="1221"/>
      <c r="I217" s="1240" t="s">
        <v>453</v>
      </c>
      <c r="J217" s="1241">
        <f>'[7]KOLOM Print'!J93</f>
        <v>46.08</v>
      </c>
    </row>
    <row r="218" spans="1:10" ht="20.25">
      <c r="A218" s="1220"/>
      <c r="B218" s="1257"/>
      <c r="C218" s="1219"/>
      <c r="D218" s="1220"/>
      <c r="E218" s="1220"/>
      <c r="F218" s="1220"/>
      <c r="G218" s="1220"/>
      <c r="H218" s="1239"/>
      <c r="I218" s="1240"/>
      <c r="J218" s="1240"/>
    </row>
    <row r="219" spans="1:10" ht="20.25">
      <c r="A219" s="1220"/>
      <c r="B219" s="1237">
        <v>5</v>
      </c>
      <c r="C219" s="1219"/>
      <c r="D219" s="1220" t="s">
        <v>1319</v>
      </c>
      <c r="E219" s="1220"/>
      <c r="F219" s="1220"/>
      <c r="G219" s="1220"/>
      <c r="H219" s="1239"/>
      <c r="I219" s="1240"/>
      <c r="J219" s="1241"/>
    </row>
    <row r="220" spans="1:10" ht="20.25">
      <c r="A220" s="1220"/>
      <c r="B220" s="1237"/>
      <c r="C220" s="1219"/>
      <c r="D220" s="1220" t="s">
        <v>374</v>
      </c>
      <c r="E220" s="1220" t="s">
        <v>1309</v>
      </c>
      <c r="F220" s="1220"/>
      <c r="G220" s="1220"/>
      <c r="H220" s="1239"/>
      <c r="I220" s="1240" t="s">
        <v>406</v>
      </c>
      <c r="J220" s="1241">
        <f>'[7]KOLOM Print'!I94</f>
        <v>4.1471999999999998</v>
      </c>
    </row>
    <row r="221" spans="1:10" ht="20.25">
      <c r="A221" s="1220"/>
      <c r="B221" s="1237"/>
      <c r="C221" s="1219"/>
      <c r="D221" s="1220" t="s">
        <v>376</v>
      </c>
      <c r="E221" s="1220" t="s">
        <v>1310</v>
      </c>
      <c r="F221" s="1220"/>
      <c r="G221" s="1220"/>
      <c r="H221" s="1239"/>
      <c r="I221" s="1240"/>
      <c r="J221" s="1241"/>
    </row>
    <row r="222" spans="1:10" ht="20.25">
      <c r="A222" s="1220"/>
      <c r="B222" s="1237"/>
      <c r="C222" s="1219"/>
      <c r="D222" s="1220"/>
      <c r="E222" s="1220" t="s">
        <v>1311</v>
      </c>
      <c r="F222" s="1220"/>
      <c r="G222" s="1220"/>
      <c r="H222" s="1239"/>
      <c r="I222" s="1240" t="s">
        <v>1312</v>
      </c>
      <c r="J222" s="1241">
        <f>'[7]KOLOM Print'!AP94</f>
        <v>1122.3333333333333</v>
      </c>
    </row>
    <row r="223" spans="1:10" ht="20.25">
      <c r="A223" s="1220"/>
      <c r="B223" s="1237"/>
      <c r="C223" s="1219"/>
      <c r="D223" s="1220"/>
      <c r="E223" s="1220" t="s">
        <v>1313</v>
      </c>
      <c r="F223" s="1220"/>
      <c r="G223" s="1220"/>
      <c r="H223" s="1239"/>
      <c r="I223" s="1240" t="s">
        <v>1312</v>
      </c>
      <c r="J223" s="1241">
        <f>'[7]KOLOM Print'!AR94</f>
        <v>260.67506399999996</v>
      </c>
    </row>
    <row r="224" spans="1:10" ht="20.25">
      <c r="A224" s="1220"/>
      <c r="B224" s="1237"/>
      <c r="C224" s="1219"/>
      <c r="D224" s="1220" t="s">
        <v>379</v>
      </c>
      <c r="E224" s="1220" t="s">
        <v>1314</v>
      </c>
      <c r="F224" s="1220"/>
      <c r="G224" s="1220"/>
      <c r="H224" s="1239"/>
      <c r="I224" s="1240" t="s">
        <v>453</v>
      </c>
      <c r="J224" s="1241">
        <f>'[7]KOLOM Print'!J94</f>
        <v>27.648</v>
      </c>
    </row>
    <row r="225" spans="1:10" ht="20.25">
      <c r="A225" s="1220"/>
      <c r="B225" s="1237"/>
      <c r="C225" s="1219"/>
      <c r="D225" s="1220"/>
      <c r="E225" s="1220"/>
      <c r="F225" s="1220"/>
      <c r="G225" s="1220"/>
      <c r="H225" s="1239"/>
      <c r="I225" s="1240"/>
      <c r="J225" s="1240"/>
    </row>
    <row r="226" spans="1:10" ht="20.25">
      <c r="A226" s="1220"/>
      <c r="B226" s="1237">
        <v>6</v>
      </c>
      <c r="C226" s="1219"/>
      <c r="D226" s="1220" t="s">
        <v>1320</v>
      </c>
      <c r="E226" s="1220"/>
      <c r="F226" s="1220"/>
      <c r="G226" s="1220"/>
      <c r="H226" s="1239"/>
      <c r="I226" s="1240"/>
      <c r="J226" s="1240"/>
    </row>
    <row r="227" spans="1:10" ht="20.25">
      <c r="A227" s="1220"/>
      <c r="B227" s="1237"/>
      <c r="C227" s="1219"/>
      <c r="D227" s="1220" t="s">
        <v>374</v>
      </c>
      <c r="E227" s="1220" t="s">
        <v>1309</v>
      </c>
      <c r="F227" s="1220"/>
      <c r="G227" s="1220"/>
      <c r="H227" s="1239"/>
      <c r="I227" s="1240" t="s">
        <v>406</v>
      </c>
      <c r="J227" s="1241">
        <f>'[7]KOLOM Print'!I95</f>
        <v>8.2943999999999996</v>
      </c>
    </row>
    <row r="228" spans="1:10" ht="20.25">
      <c r="A228" s="1220"/>
      <c r="B228" s="1237"/>
      <c r="C228" s="1219"/>
      <c r="D228" s="1220" t="s">
        <v>376</v>
      </c>
      <c r="E228" s="1220" t="s">
        <v>1310</v>
      </c>
      <c r="F228" s="1220"/>
      <c r="G228" s="1220"/>
      <c r="H228" s="1239"/>
      <c r="I228" s="1240"/>
      <c r="J228" s="1240"/>
    </row>
    <row r="229" spans="1:10" ht="20.25">
      <c r="A229" s="1220"/>
      <c r="B229" s="1237"/>
      <c r="C229" s="1219"/>
      <c r="D229" s="1220"/>
      <c r="E229" s="1220" t="s">
        <v>1311</v>
      </c>
      <c r="F229" s="1220"/>
      <c r="G229" s="1220"/>
      <c r="H229" s="1239"/>
      <c r="I229" s="1240" t="s">
        <v>1312</v>
      </c>
      <c r="J229" s="1241">
        <f>'[7]KOLOM Print'!AP95</f>
        <v>982.04166666666652</v>
      </c>
    </row>
    <row r="230" spans="1:10" ht="20.25">
      <c r="A230" s="1220"/>
      <c r="B230" s="1237"/>
      <c r="C230" s="1219"/>
      <c r="D230" s="1220"/>
      <c r="E230" s="1220" t="s">
        <v>1313</v>
      </c>
      <c r="F230" s="1220"/>
      <c r="G230" s="1220"/>
      <c r="H230" s="1239"/>
      <c r="I230" s="1240" t="s">
        <v>1312</v>
      </c>
      <c r="J230" s="1241">
        <f>'[7]KOLOM Print'!AR95</f>
        <v>265.40233199999994</v>
      </c>
    </row>
    <row r="231" spans="1:10" ht="20.25">
      <c r="A231" s="1220"/>
      <c r="B231" s="1237"/>
      <c r="C231" s="1219"/>
      <c r="D231" s="1220" t="s">
        <v>379</v>
      </c>
      <c r="E231" s="1220" t="s">
        <v>1314</v>
      </c>
      <c r="F231" s="1220"/>
      <c r="G231" s="1220"/>
      <c r="H231" s="1239"/>
      <c r="I231" s="1240" t="s">
        <v>453</v>
      </c>
      <c r="J231" s="1241">
        <f>'[7]KOLOM Print'!J115*2</f>
        <v>50.688000000000002</v>
      </c>
    </row>
    <row r="232" spans="1:10" ht="20.25">
      <c r="A232" s="1220"/>
      <c r="B232" s="1237"/>
      <c r="C232" s="1219"/>
      <c r="D232" s="1220"/>
      <c r="E232" s="1220"/>
      <c r="F232" s="1220"/>
      <c r="G232" s="1220"/>
      <c r="H232" s="1239"/>
      <c r="I232" s="1240"/>
      <c r="J232" s="1240"/>
    </row>
    <row r="233" spans="1:10" ht="20.25">
      <c r="A233" s="1220"/>
      <c r="B233" s="1257"/>
      <c r="C233" s="1259"/>
      <c r="D233" s="1238" t="s">
        <v>949</v>
      </c>
      <c r="E233" s="1220"/>
      <c r="F233" s="1220"/>
      <c r="G233" s="1220"/>
      <c r="H233" s="1239"/>
      <c r="I233" s="1240"/>
      <c r="J233" s="1240"/>
    </row>
    <row r="234" spans="1:10" ht="20.25">
      <c r="A234" s="1220"/>
      <c r="B234" s="1257">
        <v>1</v>
      </c>
      <c r="C234" s="1220" t="s">
        <v>1308</v>
      </c>
      <c r="D234" s="1220"/>
      <c r="E234" s="1220"/>
      <c r="F234" s="1220"/>
      <c r="G234" s="1220"/>
      <c r="H234" s="1221"/>
      <c r="I234" s="1240"/>
      <c r="J234" s="1240"/>
    </row>
    <row r="235" spans="1:10" ht="20.25">
      <c r="A235" s="1220"/>
      <c r="B235" s="1257"/>
      <c r="C235" s="1220" t="s">
        <v>374</v>
      </c>
      <c r="D235" s="1220"/>
      <c r="E235" s="1220" t="s">
        <v>1309</v>
      </c>
      <c r="F235" s="1220"/>
      <c r="G235" s="1220"/>
      <c r="H235" s="1221"/>
      <c r="I235" s="1240" t="s">
        <v>406</v>
      </c>
      <c r="J235" s="1241">
        <f>'[7]KOLOM Print'!I102</f>
        <v>17.625599999999999</v>
      </c>
    </row>
    <row r="236" spans="1:10" ht="20.25">
      <c r="A236" s="1220"/>
      <c r="B236" s="1257"/>
      <c r="C236" s="1220" t="s">
        <v>376</v>
      </c>
      <c r="D236" s="1220"/>
      <c r="E236" s="1220" t="s">
        <v>1310</v>
      </c>
      <c r="F236" s="1220"/>
      <c r="G236" s="1220"/>
      <c r="H236" s="1221"/>
      <c r="I236" s="1240"/>
      <c r="J236" s="1240"/>
    </row>
    <row r="237" spans="1:10" ht="20.25">
      <c r="A237" s="1220"/>
      <c r="B237" s="1257"/>
      <c r="C237" s="1220"/>
      <c r="D237" s="1220"/>
      <c r="E237" s="1220" t="s">
        <v>1311</v>
      </c>
      <c r="F237" s="1220"/>
      <c r="G237" s="1220"/>
      <c r="H237" s="1221"/>
      <c r="I237" s="1240" t="s">
        <v>1312</v>
      </c>
      <c r="J237" s="1241">
        <f>'[7]KOLOM Print'!AP102</f>
        <v>4769.9166666666661</v>
      </c>
    </row>
    <row r="238" spans="1:10" ht="20.25">
      <c r="A238" s="1220"/>
      <c r="B238" s="1257"/>
      <c r="C238" s="1220"/>
      <c r="D238" s="1220"/>
      <c r="E238" s="1220" t="s">
        <v>1313</v>
      </c>
      <c r="F238" s="1220"/>
      <c r="G238" s="1220"/>
      <c r="H238" s="1221"/>
      <c r="I238" s="1240" t="s">
        <v>1312</v>
      </c>
      <c r="J238" s="1241">
        <f>'[7]KOLOM Print'!AR102</f>
        <v>1107.8690219999999</v>
      </c>
    </row>
    <row r="239" spans="1:10" ht="21" thickBot="1">
      <c r="A239" s="1220"/>
      <c r="B239" s="1260"/>
      <c r="C239" s="1244" t="s">
        <v>379</v>
      </c>
      <c r="D239" s="1244"/>
      <c r="E239" s="1244" t="s">
        <v>1314</v>
      </c>
      <c r="F239" s="1244"/>
      <c r="G239" s="1244"/>
      <c r="H239" s="1256"/>
      <c r="I239" s="1246" t="s">
        <v>453</v>
      </c>
      <c r="J239" s="1247">
        <f>'[7]KOLOM Print'!J102</f>
        <v>117.504</v>
      </c>
    </row>
    <row r="240" spans="1:10" ht="20.25">
      <c r="A240" s="1220"/>
      <c r="B240" s="1261"/>
      <c r="C240" s="1249"/>
      <c r="D240" s="1251"/>
      <c r="E240" s="1251"/>
      <c r="F240" s="1251"/>
      <c r="G240" s="1251"/>
      <c r="H240" s="1252"/>
      <c r="I240" s="1253"/>
      <c r="J240" s="1253"/>
    </row>
    <row r="241" spans="1:10" ht="20.25">
      <c r="A241" s="1220"/>
      <c r="B241" s="1257">
        <v>2</v>
      </c>
      <c r="C241" s="1220" t="s">
        <v>1315</v>
      </c>
      <c r="D241" s="1220"/>
      <c r="E241" s="1220"/>
      <c r="F241" s="1220"/>
      <c r="G241" s="1220"/>
      <c r="H241" s="1221"/>
      <c r="I241" s="1240"/>
      <c r="J241" s="1240"/>
    </row>
    <row r="242" spans="1:10" ht="20.25">
      <c r="A242" s="1220"/>
      <c r="B242" s="1257"/>
      <c r="C242" s="1220" t="s">
        <v>374</v>
      </c>
      <c r="D242" s="1220"/>
      <c r="E242" s="1220" t="s">
        <v>1309</v>
      </c>
      <c r="F242" s="1220"/>
      <c r="G242" s="1220"/>
      <c r="H242" s="1221"/>
      <c r="I242" s="1240" t="s">
        <v>406</v>
      </c>
      <c r="J242" s="1241">
        <f>'[7]KOLOM Print'!I103</f>
        <v>11.52</v>
      </c>
    </row>
    <row r="243" spans="1:10" ht="20.25">
      <c r="A243" s="1220"/>
      <c r="B243" s="1257"/>
      <c r="C243" s="1220" t="s">
        <v>376</v>
      </c>
      <c r="D243" s="1220"/>
      <c r="E243" s="1220" t="s">
        <v>1310</v>
      </c>
      <c r="F243" s="1220"/>
      <c r="G243" s="1220"/>
      <c r="H243" s="1221"/>
      <c r="I243" s="1240"/>
      <c r="J243" s="1240"/>
    </row>
    <row r="244" spans="1:10" ht="20.25">
      <c r="A244" s="1220"/>
      <c r="B244" s="1257"/>
      <c r="C244" s="1220"/>
      <c r="D244" s="1220"/>
      <c r="E244" s="1220" t="s">
        <v>1311</v>
      </c>
      <c r="F244" s="1220"/>
      <c r="G244" s="1220"/>
      <c r="H244" s="1221"/>
      <c r="I244" s="1240" t="s">
        <v>1312</v>
      </c>
      <c r="J244" s="1241">
        <f>'[7]KOLOM Print'!AP103</f>
        <v>1683.4999999999998</v>
      </c>
    </row>
    <row r="245" spans="1:10" ht="20.25">
      <c r="A245" s="1220"/>
      <c r="B245" s="1257"/>
      <c r="C245" s="1220"/>
      <c r="D245" s="1220"/>
      <c r="E245" s="1220" t="s">
        <v>1313</v>
      </c>
      <c r="F245" s="1220"/>
      <c r="G245" s="1220"/>
      <c r="H245" s="1221"/>
      <c r="I245" s="1240" t="s">
        <v>1312</v>
      </c>
      <c r="J245" s="1241">
        <f>'[7]KOLOM Print'!AR103</f>
        <v>440.76146399999988</v>
      </c>
    </row>
    <row r="246" spans="1:10" ht="20.25">
      <c r="A246" s="1220"/>
      <c r="B246" s="1257"/>
      <c r="C246" s="1220" t="s">
        <v>379</v>
      </c>
      <c r="D246" s="1220"/>
      <c r="E246" s="1220" t="s">
        <v>1314</v>
      </c>
      <c r="F246" s="1220"/>
      <c r="G246" s="1220"/>
      <c r="H246" s="1221"/>
      <c r="I246" s="1240" t="s">
        <v>453</v>
      </c>
      <c r="J246" s="1241">
        <f>'[7]KOLOM Print'!J103</f>
        <v>46.08</v>
      </c>
    </row>
    <row r="247" spans="1:10" ht="20.25">
      <c r="A247" s="1220"/>
      <c r="B247" s="1257"/>
      <c r="C247" s="1219"/>
      <c r="D247" s="1220"/>
      <c r="E247" s="1220"/>
      <c r="F247" s="1220"/>
      <c r="G247" s="1220"/>
      <c r="H247" s="1220"/>
      <c r="I247" s="1221"/>
      <c r="J247" s="1240"/>
    </row>
    <row r="248" spans="1:10" ht="20.25">
      <c r="A248" s="1220"/>
      <c r="B248" s="1237">
        <v>5</v>
      </c>
      <c r="C248" s="1219"/>
      <c r="D248" s="1220" t="s">
        <v>1319</v>
      </c>
      <c r="E248" s="1220"/>
      <c r="F248" s="1220"/>
      <c r="G248" s="1220"/>
      <c r="H248" s="1239"/>
      <c r="I248" s="1240"/>
      <c r="J248" s="1241"/>
    </row>
    <row r="249" spans="1:10" ht="20.25">
      <c r="A249" s="1220"/>
      <c r="B249" s="1237"/>
      <c r="C249" s="1219"/>
      <c r="D249" s="1220" t="s">
        <v>374</v>
      </c>
      <c r="E249" s="1220" t="s">
        <v>1309</v>
      </c>
      <c r="F249" s="1220"/>
      <c r="G249" s="1220"/>
      <c r="H249" s="1239"/>
      <c r="I249" s="1240" t="s">
        <v>406</v>
      </c>
      <c r="J249" s="1241">
        <f>'[7]KOLOM Print'!I104</f>
        <v>4.1471999999999998</v>
      </c>
    </row>
    <row r="250" spans="1:10" ht="20.25">
      <c r="A250" s="1220"/>
      <c r="B250" s="1237"/>
      <c r="C250" s="1219"/>
      <c r="D250" s="1220" t="s">
        <v>376</v>
      </c>
      <c r="E250" s="1220" t="s">
        <v>1310</v>
      </c>
      <c r="F250" s="1220"/>
      <c r="G250" s="1220"/>
      <c r="H250" s="1239"/>
      <c r="I250" s="1240"/>
      <c r="J250" s="1241"/>
    </row>
    <row r="251" spans="1:10" ht="20.25">
      <c r="A251" s="1220"/>
      <c r="B251" s="1237"/>
      <c r="C251" s="1219"/>
      <c r="D251" s="1220"/>
      <c r="E251" s="1220" t="s">
        <v>1311</v>
      </c>
      <c r="F251" s="1220"/>
      <c r="G251" s="1220"/>
      <c r="H251" s="1239"/>
      <c r="I251" s="1240" t="s">
        <v>1312</v>
      </c>
      <c r="J251" s="1241">
        <f>'[7]KOLOM Print'!AP104</f>
        <v>1122.3333333333333</v>
      </c>
    </row>
    <row r="252" spans="1:10" ht="20.25">
      <c r="A252" s="1220"/>
      <c r="B252" s="1237"/>
      <c r="C252" s="1219"/>
      <c r="D252" s="1220"/>
      <c r="E252" s="1220" t="s">
        <v>1313</v>
      </c>
      <c r="F252" s="1220"/>
      <c r="G252" s="1220"/>
      <c r="H252" s="1239"/>
      <c r="I252" s="1240" t="s">
        <v>1312</v>
      </c>
      <c r="J252" s="1241">
        <f>'[7]KOLOM Print'!AR104</f>
        <v>260.67506399999996</v>
      </c>
    </row>
    <row r="253" spans="1:10" ht="20.25">
      <c r="A253" s="1217"/>
      <c r="B253" s="1237"/>
      <c r="C253" s="1219"/>
      <c r="D253" s="1220" t="s">
        <v>379</v>
      </c>
      <c r="E253" s="1220" t="s">
        <v>1314</v>
      </c>
      <c r="F253" s="1220"/>
      <c r="G253" s="1220"/>
      <c r="H253" s="1239"/>
      <c r="I253" s="1240" t="s">
        <v>453</v>
      </c>
      <c r="J253" s="1241">
        <f>'[7]KOLOM Print'!J104</f>
        <v>27.648</v>
      </c>
    </row>
    <row r="254" spans="1:10" ht="20.25">
      <c r="A254" s="1217"/>
      <c r="B254" s="1237"/>
      <c r="C254" s="1219"/>
      <c r="D254" s="1220"/>
      <c r="E254" s="1220"/>
      <c r="F254" s="1220"/>
      <c r="G254" s="1220"/>
      <c r="H254" s="1239"/>
      <c r="I254" s="1240"/>
      <c r="J254" s="1240"/>
    </row>
    <row r="255" spans="1:10" ht="20.25">
      <c r="A255" s="1217"/>
      <c r="B255" s="1237">
        <v>6</v>
      </c>
      <c r="C255" s="1219"/>
      <c r="D255" s="1220" t="s">
        <v>1320</v>
      </c>
      <c r="E255" s="1220"/>
      <c r="F255" s="1220"/>
      <c r="G255" s="1220"/>
      <c r="H255" s="1239"/>
      <c r="I255" s="1240"/>
      <c r="J255" s="1240"/>
    </row>
    <row r="256" spans="1:10" ht="20.25">
      <c r="A256" s="1217"/>
      <c r="B256" s="1237"/>
      <c r="C256" s="1219"/>
      <c r="D256" s="1220" t="s">
        <v>374</v>
      </c>
      <c r="E256" s="1220" t="s">
        <v>1309</v>
      </c>
      <c r="F256" s="1220"/>
      <c r="G256" s="1220"/>
      <c r="H256" s="1239"/>
      <c r="I256" s="1240" t="s">
        <v>406</v>
      </c>
      <c r="J256" s="1241">
        <f>'[7]KOLOM Print'!I105</f>
        <v>8.2943999999999996</v>
      </c>
    </row>
    <row r="257" spans="1:10" ht="20.25">
      <c r="A257" s="1217"/>
      <c r="B257" s="1237"/>
      <c r="C257" s="1219"/>
      <c r="D257" s="1220" t="s">
        <v>376</v>
      </c>
      <c r="E257" s="1220" t="s">
        <v>1310</v>
      </c>
      <c r="F257" s="1220"/>
      <c r="G257" s="1220"/>
      <c r="H257" s="1239"/>
      <c r="I257" s="1240"/>
      <c r="J257" s="1240"/>
    </row>
    <row r="258" spans="1:10" ht="20.25">
      <c r="A258" s="1217"/>
      <c r="B258" s="1237"/>
      <c r="C258" s="1219"/>
      <c r="D258" s="1220"/>
      <c r="E258" s="1220" t="s">
        <v>1311</v>
      </c>
      <c r="F258" s="1220"/>
      <c r="G258" s="1220"/>
      <c r="H258" s="1239"/>
      <c r="I258" s="1240" t="s">
        <v>1312</v>
      </c>
      <c r="J258" s="1241">
        <f>'[7]KOLOM Print'!AP105</f>
        <v>982.04166666666652</v>
      </c>
    </row>
    <row r="259" spans="1:10" ht="20.25">
      <c r="A259" s="1217"/>
      <c r="B259" s="1237"/>
      <c r="C259" s="1219"/>
      <c r="D259" s="1220"/>
      <c r="E259" s="1220" t="s">
        <v>1313</v>
      </c>
      <c r="F259" s="1220"/>
      <c r="G259" s="1220"/>
      <c r="H259" s="1239"/>
      <c r="I259" s="1240" t="s">
        <v>1312</v>
      </c>
      <c r="J259" s="1241">
        <f>'[7]KOLOM Print'!AR105</f>
        <v>265.40233199999994</v>
      </c>
    </row>
    <row r="260" spans="1:10" ht="20.25">
      <c r="A260" s="1217"/>
      <c r="B260" s="1237"/>
      <c r="C260" s="1219"/>
      <c r="D260" s="1220" t="s">
        <v>379</v>
      </c>
      <c r="E260" s="1220" t="s">
        <v>1314</v>
      </c>
      <c r="F260" s="1220"/>
      <c r="G260" s="1220"/>
      <c r="H260" s="1239"/>
      <c r="I260" s="1240" t="s">
        <v>453</v>
      </c>
      <c r="J260" s="1241">
        <f>'[7]KOLOM Print'!J105</f>
        <v>27.648</v>
      </c>
    </row>
    <row r="261" spans="1:10" ht="20.25">
      <c r="A261" s="1217"/>
      <c r="B261" s="1237"/>
      <c r="C261" s="1219"/>
      <c r="D261" s="1220"/>
      <c r="E261" s="1220"/>
      <c r="F261" s="1220"/>
      <c r="G261" s="1220"/>
      <c r="H261" s="1239"/>
      <c r="I261" s="1240"/>
      <c r="J261" s="1240"/>
    </row>
    <row r="262" spans="1:10" ht="20.25">
      <c r="A262" s="1217"/>
      <c r="B262" s="1257"/>
      <c r="C262" s="1258"/>
      <c r="D262" s="1238" t="s">
        <v>1326</v>
      </c>
      <c r="E262" s="1220"/>
      <c r="F262" s="1220"/>
      <c r="G262" s="1220"/>
      <c r="H262" s="1239"/>
      <c r="I262" s="1240"/>
      <c r="J262" s="1240"/>
    </row>
    <row r="263" spans="1:10" ht="20.25">
      <c r="A263" s="1217"/>
      <c r="B263" s="1257">
        <v>1</v>
      </c>
      <c r="C263" s="1220" t="s">
        <v>1308</v>
      </c>
      <c r="D263" s="1220"/>
      <c r="E263" s="1220"/>
      <c r="F263" s="1220"/>
      <c r="G263" s="1220"/>
      <c r="H263" s="1221"/>
      <c r="I263" s="1240"/>
      <c r="J263" s="1240"/>
    </row>
    <row r="264" spans="1:10" ht="20.25">
      <c r="A264" s="1217"/>
      <c r="B264" s="1257"/>
      <c r="C264" s="1220" t="s">
        <v>374</v>
      </c>
      <c r="D264" s="1220"/>
      <c r="E264" s="1220" t="s">
        <v>1309</v>
      </c>
      <c r="F264" s="1220"/>
      <c r="G264" s="1220"/>
      <c r="H264" s="1221"/>
      <c r="I264" s="1240" t="s">
        <v>406</v>
      </c>
      <c r="J264" s="1241">
        <f>'[7]KOLOM Print'!I112*3</f>
        <v>71.97120000000001</v>
      </c>
    </row>
    <row r="265" spans="1:10" ht="20.25">
      <c r="A265" s="1220"/>
      <c r="B265" s="1257"/>
      <c r="C265" s="1220" t="s">
        <v>376</v>
      </c>
      <c r="D265" s="1220"/>
      <c r="E265" s="1220" t="s">
        <v>1310</v>
      </c>
      <c r="F265" s="1220"/>
      <c r="G265" s="1220"/>
      <c r="H265" s="1221"/>
      <c r="I265" s="1240"/>
      <c r="J265" s="1240"/>
    </row>
    <row r="266" spans="1:10" ht="20.25">
      <c r="A266" s="1220"/>
      <c r="B266" s="1257"/>
      <c r="C266" s="1220"/>
      <c r="D266" s="1220"/>
      <c r="E266" s="1220" t="s">
        <v>1311</v>
      </c>
      <c r="F266" s="1220"/>
      <c r="G266" s="1220"/>
      <c r="H266" s="1221"/>
      <c r="I266" s="1240" t="s">
        <v>1312</v>
      </c>
      <c r="J266" s="1241">
        <f>'[7]KOLOM Print'!AP112*3</f>
        <v>7154.8749999999991</v>
      </c>
    </row>
    <row r="267" spans="1:10" ht="20.25">
      <c r="A267" s="1220"/>
      <c r="B267" s="1257"/>
      <c r="C267" s="1220"/>
      <c r="D267" s="1220"/>
      <c r="E267" s="1220" t="s">
        <v>1327</v>
      </c>
      <c r="F267" s="1220"/>
      <c r="G267" s="1220"/>
      <c r="H267" s="1221"/>
      <c r="I267" s="1240" t="s">
        <v>1312</v>
      </c>
      <c r="J267" s="1241">
        <f>'[7]KOLOM Print'!AQ112*3</f>
        <v>3794.7771279999993</v>
      </c>
    </row>
    <row r="268" spans="1:10" ht="20.25">
      <c r="A268" s="1220"/>
      <c r="B268" s="1257"/>
      <c r="C268" s="1220"/>
      <c r="D268" s="1220"/>
      <c r="E268" s="1220" t="s">
        <v>1313</v>
      </c>
      <c r="F268" s="1220"/>
      <c r="G268" s="1220"/>
      <c r="H268" s="1221"/>
      <c r="I268" s="1240" t="s">
        <v>1312</v>
      </c>
      <c r="J268" s="1241">
        <f>'[7]KOLOM Print'!AR112*3</f>
        <v>3897.6324659999991</v>
      </c>
    </row>
    <row r="269" spans="1:10" ht="20.25">
      <c r="A269" s="1220"/>
      <c r="B269" s="1257"/>
      <c r="C269" s="1220" t="s">
        <v>379</v>
      </c>
      <c r="D269" s="1220"/>
      <c r="E269" s="1220" t="s">
        <v>1314</v>
      </c>
      <c r="F269" s="1220"/>
      <c r="G269" s="1220"/>
      <c r="H269" s="1221"/>
      <c r="I269" s="1240" t="s">
        <v>453</v>
      </c>
      <c r="J269" s="1241">
        <f>'[7]KOLOM Print'!J112*3</f>
        <v>411.26400000000001</v>
      </c>
    </row>
    <row r="270" spans="1:10" ht="20.25">
      <c r="A270" s="1220"/>
      <c r="B270" s="1257"/>
      <c r="C270" s="1219"/>
      <c r="D270" s="1220"/>
      <c r="E270" s="1220"/>
      <c r="F270" s="1220"/>
      <c r="G270" s="1220"/>
      <c r="H270" s="1239"/>
      <c r="I270" s="1240"/>
      <c r="J270" s="1240"/>
    </row>
    <row r="271" spans="1:10" ht="20.25">
      <c r="A271" s="1220"/>
      <c r="B271" s="1257">
        <v>2</v>
      </c>
      <c r="C271" s="1220" t="s">
        <v>1315</v>
      </c>
      <c r="D271" s="1220"/>
      <c r="E271" s="1220"/>
      <c r="F271" s="1220"/>
      <c r="G271" s="1220"/>
      <c r="H271" s="1221"/>
      <c r="I271" s="1240"/>
      <c r="J271" s="1240"/>
    </row>
    <row r="272" spans="1:10" ht="20.25">
      <c r="A272" s="1220"/>
      <c r="B272" s="1257"/>
      <c r="C272" s="1220" t="s">
        <v>374</v>
      </c>
      <c r="D272" s="1220"/>
      <c r="E272" s="1220" t="s">
        <v>1309</v>
      </c>
      <c r="F272" s="1220"/>
      <c r="G272" s="1220"/>
      <c r="H272" s="1221"/>
      <c r="I272" s="1240" t="s">
        <v>406</v>
      </c>
      <c r="J272" s="1241">
        <f>'[7]KOLOM Print'!I132*3</f>
        <v>71.97120000000001</v>
      </c>
    </row>
    <row r="273" spans="1:10" ht="20.25">
      <c r="A273" s="1220"/>
      <c r="B273" s="1257"/>
      <c r="C273" s="1220" t="s">
        <v>376</v>
      </c>
      <c r="D273" s="1220"/>
      <c r="E273" s="1220" t="s">
        <v>1310</v>
      </c>
      <c r="F273" s="1220"/>
      <c r="G273" s="1220"/>
      <c r="H273" s="1221"/>
      <c r="I273" s="1240"/>
      <c r="J273" s="1240"/>
    </row>
    <row r="274" spans="1:10" ht="20.25">
      <c r="A274" s="1220"/>
      <c r="B274" s="1257"/>
      <c r="C274" s="1220"/>
      <c r="D274" s="1220"/>
      <c r="E274" s="1220" t="s">
        <v>1311</v>
      </c>
      <c r="F274" s="1220"/>
      <c r="G274" s="1220"/>
      <c r="H274" s="1221"/>
      <c r="I274" s="1240" t="s">
        <v>1312</v>
      </c>
      <c r="J274" s="1241">
        <f>'[7]KOLOM Print'!AP132*3</f>
        <v>7154.8749999999991</v>
      </c>
    </row>
    <row r="275" spans="1:10" ht="20.25">
      <c r="A275" s="1220"/>
      <c r="B275" s="1257"/>
      <c r="C275" s="1220"/>
      <c r="D275" s="1220"/>
      <c r="E275" s="1220" t="s">
        <v>1313</v>
      </c>
      <c r="F275" s="1220"/>
      <c r="G275" s="1220"/>
      <c r="H275" s="1221"/>
      <c r="I275" s="1240" t="s">
        <v>1312</v>
      </c>
      <c r="J275" s="1241">
        <f>'[7]KOLOM Print'!AR132*3</f>
        <v>3897.6324659999991</v>
      </c>
    </row>
    <row r="276" spans="1:10" ht="20.25">
      <c r="A276" s="1220"/>
      <c r="B276" s="1257"/>
      <c r="C276" s="1220" t="s">
        <v>379</v>
      </c>
      <c r="D276" s="1220"/>
      <c r="E276" s="1220" t="s">
        <v>1314</v>
      </c>
      <c r="F276" s="1220"/>
      <c r="G276" s="1220"/>
      <c r="H276" s="1221"/>
      <c r="I276" s="1240" t="s">
        <v>453</v>
      </c>
      <c r="J276" s="1241">
        <f>'[7]KOLOM Print'!J132*3</f>
        <v>411.26400000000001</v>
      </c>
    </row>
    <row r="277" spans="1:10" ht="20.25">
      <c r="A277" s="1220"/>
      <c r="B277" s="1257"/>
      <c r="C277" s="1219"/>
      <c r="D277" s="1220"/>
      <c r="E277" s="1220"/>
      <c r="F277" s="1220"/>
      <c r="G277" s="1220"/>
      <c r="H277" s="1239"/>
      <c r="I277" s="1240"/>
      <c r="J277" s="1240"/>
    </row>
    <row r="278" spans="1:10" ht="20.25">
      <c r="A278" s="1220"/>
      <c r="B278" s="1237">
        <v>5</v>
      </c>
      <c r="C278" s="1219"/>
      <c r="D278" s="1220" t="s">
        <v>1319</v>
      </c>
      <c r="E278" s="1220"/>
      <c r="F278" s="1220"/>
      <c r="G278" s="1220"/>
      <c r="H278" s="1239"/>
      <c r="I278" s="1240"/>
      <c r="J278" s="1241"/>
    </row>
    <row r="279" spans="1:10" ht="20.25">
      <c r="A279" s="1220"/>
      <c r="B279" s="1237"/>
      <c r="C279" s="1219"/>
      <c r="D279" s="1220" t="s">
        <v>374</v>
      </c>
      <c r="E279" s="1220" t="s">
        <v>1309</v>
      </c>
      <c r="F279" s="1220"/>
      <c r="G279" s="1220"/>
      <c r="H279" s="1239"/>
      <c r="I279" s="1240" t="s">
        <v>406</v>
      </c>
      <c r="J279" s="1241">
        <f>'[7]KOLOM Print'!I133*3</f>
        <v>27.993600000000001</v>
      </c>
    </row>
    <row r="280" spans="1:10" ht="20.25">
      <c r="A280" s="1220"/>
      <c r="B280" s="1237"/>
      <c r="C280" s="1219"/>
      <c r="D280" s="1220" t="s">
        <v>376</v>
      </c>
      <c r="E280" s="1220" t="s">
        <v>1310</v>
      </c>
      <c r="F280" s="1220"/>
      <c r="G280" s="1220"/>
      <c r="H280" s="1239"/>
      <c r="I280" s="1240"/>
      <c r="J280" s="1241"/>
    </row>
    <row r="281" spans="1:10" ht="20.25">
      <c r="A281" s="1220"/>
      <c r="B281" s="1237"/>
      <c r="C281" s="1219"/>
      <c r="D281" s="1220"/>
      <c r="E281" s="1220" t="s">
        <v>1311</v>
      </c>
      <c r="F281" s="1220"/>
      <c r="G281" s="1220"/>
      <c r="H281" s="1239"/>
      <c r="I281" s="1240" t="s">
        <v>1312</v>
      </c>
      <c r="J281" s="1241">
        <f>'[7]KOLOM Print'!AP133*3</f>
        <v>3367</v>
      </c>
    </row>
    <row r="282" spans="1:10" ht="20.25">
      <c r="A282" s="1220"/>
      <c r="B282" s="1237"/>
      <c r="C282" s="1219"/>
      <c r="D282" s="1220"/>
      <c r="E282" s="1220" t="s">
        <v>1313</v>
      </c>
      <c r="F282" s="1220"/>
      <c r="G282" s="1220"/>
      <c r="H282" s="1239"/>
      <c r="I282" s="1240" t="s">
        <v>1312</v>
      </c>
      <c r="J282" s="1241">
        <f>'[7]KOLOM Print'!AR133*3</f>
        <v>1187.2195919999999</v>
      </c>
    </row>
    <row r="283" spans="1:10" ht="20.25">
      <c r="A283" s="1220"/>
      <c r="B283" s="1237"/>
      <c r="C283" s="1219"/>
      <c r="D283" s="1220" t="s">
        <v>379</v>
      </c>
      <c r="E283" s="1220" t="s">
        <v>1314</v>
      </c>
      <c r="F283" s="1220"/>
      <c r="G283" s="1220"/>
      <c r="H283" s="1239"/>
      <c r="I283" s="1240" t="s">
        <v>453</v>
      </c>
      <c r="J283" s="1241">
        <f>'[7]KOLOM Print'!J133*3</f>
        <v>124.416</v>
      </c>
    </row>
    <row r="284" spans="1:10" ht="20.25">
      <c r="A284" s="1220"/>
      <c r="B284" s="1237"/>
      <c r="C284" s="1219"/>
      <c r="D284" s="1220"/>
      <c r="E284" s="1220"/>
      <c r="F284" s="1220"/>
      <c r="G284" s="1220"/>
      <c r="H284" s="1239"/>
      <c r="I284" s="1240"/>
      <c r="J284" s="1240"/>
    </row>
    <row r="285" spans="1:10" ht="20.25">
      <c r="A285" s="1220"/>
      <c r="B285" s="1237">
        <v>6</v>
      </c>
      <c r="C285" s="1219"/>
      <c r="D285" s="1220" t="s">
        <v>1320</v>
      </c>
      <c r="E285" s="1220"/>
      <c r="F285" s="1220"/>
      <c r="G285" s="1220"/>
      <c r="H285" s="1239"/>
      <c r="I285" s="1240"/>
      <c r="J285" s="1240"/>
    </row>
    <row r="286" spans="1:10" ht="20.25">
      <c r="A286" s="1220"/>
      <c r="B286" s="1237"/>
      <c r="C286" s="1219"/>
      <c r="D286" s="1220" t="s">
        <v>374</v>
      </c>
      <c r="E286" s="1220" t="s">
        <v>1309</v>
      </c>
      <c r="F286" s="1220"/>
      <c r="G286" s="1220"/>
      <c r="H286" s="1239"/>
      <c r="I286" s="1240" t="s">
        <v>406</v>
      </c>
      <c r="J286" s="1241">
        <f>'[7]KOLOM Print'!I134*3</f>
        <v>16.9344</v>
      </c>
    </row>
    <row r="287" spans="1:10" ht="20.25">
      <c r="A287" s="1220"/>
      <c r="B287" s="1237"/>
      <c r="C287" s="1219"/>
      <c r="D287" s="1220" t="s">
        <v>376</v>
      </c>
      <c r="E287" s="1220" t="s">
        <v>1310</v>
      </c>
      <c r="F287" s="1220"/>
      <c r="G287" s="1220"/>
      <c r="H287" s="1239"/>
      <c r="I287" s="1240"/>
      <c r="J287" s="1240"/>
    </row>
    <row r="288" spans="1:10" ht="20.25">
      <c r="A288" s="1220"/>
      <c r="B288" s="1237"/>
      <c r="C288" s="1219"/>
      <c r="D288" s="1220"/>
      <c r="E288" s="1220" t="s">
        <v>1311</v>
      </c>
      <c r="F288" s="1220"/>
      <c r="G288" s="1220"/>
      <c r="H288" s="1239"/>
      <c r="I288" s="1240" t="s">
        <v>1312</v>
      </c>
      <c r="J288" s="1241">
        <f>'[7]KOLOM Print'!AP134*3</f>
        <v>841.75</v>
      </c>
    </row>
    <row r="289" spans="1:10" ht="20.25">
      <c r="A289" s="1220"/>
      <c r="B289" s="1237"/>
      <c r="C289" s="1219"/>
      <c r="D289" s="1220"/>
      <c r="E289" s="1220" t="s">
        <v>1313</v>
      </c>
      <c r="F289" s="1220"/>
      <c r="G289" s="1220"/>
      <c r="H289" s="1239"/>
      <c r="I289" s="1240" t="s">
        <v>1312</v>
      </c>
      <c r="J289" s="1241">
        <f>'[7]KOLOM Print'!AR134*3</f>
        <v>917.08999199999994</v>
      </c>
    </row>
    <row r="290" spans="1:10" ht="20.25">
      <c r="A290" s="1220"/>
      <c r="B290" s="1237"/>
      <c r="C290" s="1219"/>
      <c r="D290" s="1220" t="s">
        <v>379</v>
      </c>
      <c r="E290" s="1220" t="s">
        <v>1314</v>
      </c>
      <c r="F290" s="1220"/>
      <c r="G290" s="1220"/>
      <c r="H290" s="1239"/>
      <c r="I290" s="1240" t="s">
        <v>453</v>
      </c>
      <c r="J290" s="1241">
        <f>'[7]KOLOM Print'!J134*3</f>
        <v>96.768000000000001</v>
      </c>
    </row>
    <row r="291" spans="1:10" ht="20.25">
      <c r="A291" s="1220"/>
      <c r="B291" s="1257"/>
      <c r="C291" s="1258"/>
      <c r="D291" s="1238" t="s">
        <v>1328</v>
      </c>
      <c r="E291" s="1220"/>
      <c r="F291" s="1220"/>
      <c r="G291" s="1220"/>
      <c r="H291" s="1239"/>
      <c r="I291" s="1240"/>
      <c r="J291" s="1240"/>
    </row>
    <row r="292" spans="1:10" ht="20.25">
      <c r="A292" s="1220"/>
      <c r="B292" s="1257">
        <v>1</v>
      </c>
      <c r="C292" s="1220" t="s">
        <v>1308</v>
      </c>
      <c r="D292" s="1220"/>
      <c r="E292" s="1220"/>
      <c r="F292" s="1220"/>
      <c r="G292" s="1220"/>
      <c r="H292" s="1221"/>
      <c r="I292" s="1240"/>
      <c r="J292" s="1240"/>
    </row>
    <row r="293" spans="1:10" ht="20.25">
      <c r="A293" s="1220"/>
      <c r="B293" s="1257"/>
      <c r="C293" s="1220" t="s">
        <v>374</v>
      </c>
      <c r="D293" s="1220"/>
      <c r="E293" s="1220" t="s">
        <v>1309</v>
      </c>
      <c r="F293" s="1220"/>
      <c r="G293" s="1220"/>
      <c r="H293" s="1221"/>
      <c r="I293" s="1240" t="s">
        <v>406</v>
      </c>
      <c r="J293" s="1241">
        <f>'[7]KOLOM Print'!I142*3</f>
        <v>52.876799999999996</v>
      </c>
    </row>
    <row r="294" spans="1:10" ht="20.25">
      <c r="A294" s="1220"/>
      <c r="B294" s="1257"/>
      <c r="C294" s="1220" t="s">
        <v>376</v>
      </c>
      <c r="D294" s="1220"/>
      <c r="E294" s="1220" t="s">
        <v>1310</v>
      </c>
      <c r="F294" s="1220"/>
      <c r="G294" s="1220"/>
      <c r="H294" s="1221"/>
      <c r="I294" s="1240"/>
      <c r="J294" s="1240"/>
    </row>
    <row r="295" spans="1:10" ht="20.25">
      <c r="A295" s="1220"/>
      <c r="B295" s="1257"/>
      <c r="C295" s="1220"/>
      <c r="D295" s="1220"/>
      <c r="E295" s="1220" t="s">
        <v>1311</v>
      </c>
      <c r="F295" s="1220"/>
      <c r="G295" s="1220"/>
      <c r="H295" s="1221"/>
      <c r="I295" s="1240" t="s">
        <v>1312</v>
      </c>
      <c r="J295" s="1241">
        <f>'[7]KOLOM Print'!AP142*3</f>
        <v>7154.8749999999991</v>
      </c>
    </row>
    <row r="296" spans="1:10" ht="20.25">
      <c r="A296" s="1220"/>
      <c r="B296" s="1257"/>
      <c r="C296" s="1220"/>
      <c r="D296" s="1220"/>
      <c r="E296" s="1220" t="s">
        <v>1327</v>
      </c>
      <c r="F296" s="1220"/>
      <c r="G296" s="1220"/>
      <c r="H296" s="1221"/>
      <c r="I296" s="1240" t="s">
        <v>1312</v>
      </c>
      <c r="J296" s="1241">
        <f>'[7]KOLOM Print'!AQ142*3</f>
        <v>3794.7771279999993</v>
      </c>
    </row>
    <row r="297" spans="1:10" ht="20.25">
      <c r="A297" s="1220"/>
      <c r="B297" s="1257"/>
      <c r="C297" s="1220"/>
      <c r="D297" s="1220"/>
      <c r="E297" s="1220" t="s">
        <v>1313</v>
      </c>
      <c r="F297" s="1220"/>
      <c r="G297" s="1220"/>
      <c r="H297" s="1221"/>
      <c r="I297" s="1240" t="s">
        <v>1312</v>
      </c>
      <c r="J297" s="1241">
        <f>'[7]KOLOM Print'!AR142*3</f>
        <v>3323.6070659999996</v>
      </c>
    </row>
    <row r="298" spans="1:10" ht="20.25">
      <c r="A298" s="1220"/>
      <c r="B298" s="1257"/>
      <c r="C298" s="1220" t="s">
        <v>379</v>
      </c>
      <c r="D298" s="1220"/>
      <c r="E298" s="1220" t="s">
        <v>1314</v>
      </c>
      <c r="F298" s="1220"/>
      <c r="G298" s="1220"/>
      <c r="H298" s="1221"/>
      <c r="I298" s="1240" t="s">
        <v>453</v>
      </c>
      <c r="J298" s="1241">
        <f>'[7]KOLOM Print'!J142*3</f>
        <v>352.512</v>
      </c>
    </row>
    <row r="299" spans="1:10" ht="20.25">
      <c r="A299" s="1220"/>
      <c r="B299" s="1257"/>
      <c r="C299" s="1219"/>
      <c r="D299" s="1220"/>
      <c r="E299" s="1220"/>
      <c r="F299" s="1220"/>
      <c r="G299" s="1220"/>
      <c r="H299" s="1239"/>
      <c r="I299" s="1240"/>
      <c r="J299" s="1240"/>
    </row>
    <row r="300" spans="1:10" ht="20.25">
      <c r="A300" s="1220"/>
      <c r="B300" s="1257">
        <v>2</v>
      </c>
      <c r="C300" s="1220" t="s">
        <v>1315</v>
      </c>
      <c r="D300" s="1220"/>
      <c r="E300" s="1220"/>
      <c r="F300" s="1220"/>
      <c r="G300" s="1220"/>
      <c r="H300" s="1221"/>
      <c r="I300" s="1240"/>
      <c r="J300" s="1240"/>
    </row>
    <row r="301" spans="1:10" ht="20.25">
      <c r="A301" s="1220"/>
      <c r="B301" s="1257"/>
      <c r="C301" s="1220" t="s">
        <v>374</v>
      </c>
      <c r="D301" s="1220"/>
      <c r="E301" s="1220" t="s">
        <v>1309</v>
      </c>
      <c r="F301" s="1220"/>
      <c r="G301" s="1220"/>
      <c r="H301" s="1221"/>
      <c r="I301" s="1240" t="s">
        <v>406</v>
      </c>
      <c r="J301" s="1241">
        <f>'[7]KOLOM Print'!I143*3</f>
        <v>22.118400000000001</v>
      </c>
    </row>
    <row r="302" spans="1:10" ht="20.25">
      <c r="A302" s="1220"/>
      <c r="B302" s="1257"/>
      <c r="C302" s="1220" t="s">
        <v>376</v>
      </c>
      <c r="D302" s="1220"/>
      <c r="E302" s="1220" t="s">
        <v>1310</v>
      </c>
      <c r="F302" s="1220"/>
      <c r="G302" s="1220"/>
      <c r="H302" s="1221"/>
      <c r="I302" s="1240"/>
      <c r="J302" s="1240"/>
    </row>
    <row r="303" spans="1:10" ht="20.25">
      <c r="A303" s="1220"/>
      <c r="B303" s="1257"/>
      <c r="C303" s="1220"/>
      <c r="D303" s="1220"/>
      <c r="E303" s="1220" t="s">
        <v>1311</v>
      </c>
      <c r="F303" s="1220"/>
      <c r="G303" s="1220"/>
      <c r="H303" s="1221"/>
      <c r="I303" s="1240" t="s">
        <v>1312</v>
      </c>
      <c r="J303" s="1241">
        <f>'[7]KOLOM Print'!AP143*3</f>
        <v>3367</v>
      </c>
    </row>
    <row r="304" spans="1:10" ht="20.25">
      <c r="A304" s="1220"/>
      <c r="B304" s="1257"/>
      <c r="C304" s="1220"/>
      <c r="D304" s="1220"/>
      <c r="E304" s="1220" t="s">
        <v>1313</v>
      </c>
      <c r="F304" s="1220"/>
      <c r="G304" s="1220"/>
      <c r="H304" s="1221"/>
      <c r="I304" s="1240" t="s">
        <v>1312</v>
      </c>
      <c r="J304" s="1241">
        <f>'[7]KOLOM Print'!AR143*3</f>
        <v>1052.154792</v>
      </c>
    </row>
    <row r="305" spans="1:10" ht="20.25">
      <c r="A305" s="1220"/>
      <c r="B305" s="1257"/>
      <c r="C305" s="1220" t="s">
        <v>379</v>
      </c>
      <c r="D305" s="1220"/>
      <c r="E305" s="1220" t="s">
        <v>1314</v>
      </c>
      <c r="F305" s="1220"/>
      <c r="G305" s="1220"/>
      <c r="H305" s="1221"/>
      <c r="I305" s="1240" t="s">
        <v>453</v>
      </c>
      <c r="J305" s="1241">
        <f>'[7]KOLOM Print'!J143*3</f>
        <v>110.59199999999998</v>
      </c>
    </row>
    <row r="306" spans="1:10" ht="20.25">
      <c r="A306" s="1220"/>
      <c r="B306" s="1257"/>
      <c r="C306" s="1219"/>
      <c r="D306" s="1220"/>
      <c r="E306" s="1220"/>
      <c r="F306" s="1220"/>
      <c r="G306" s="1220"/>
      <c r="H306" s="1239"/>
      <c r="I306" s="1240"/>
      <c r="J306" s="1240"/>
    </row>
    <row r="307" spans="1:10" ht="20.25">
      <c r="A307" s="1220"/>
      <c r="B307" s="1237">
        <v>5</v>
      </c>
      <c r="C307" s="1219"/>
      <c r="D307" s="1220" t="s">
        <v>1319</v>
      </c>
      <c r="E307" s="1220"/>
      <c r="F307" s="1220"/>
      <c r="G307" s="1220"/>
      <c r="H307" s="1239"/>
      <c r="I307" s="1240"/>
      <c r="J307" s="1241"/>
    </row>
    <row r="308" spans="1:10" ht="20.25">
      <c r="A308" s="1220"/>
      <c r="B308" s="1237"/>
      <c r="C308" s="1219"/>
      <c r="D308" s="1220" t="s">
        <v>374</v>
      </c>
      <c r="E308" s="1220" t="s">
        <v>1309</v>
      </c>
      <c r="F308" s="1220"/>
      <c r="G308" s="1220"/>
      <c r="H308" s="1239"/>
      <c r="I308" s="1240" t="s">
        <v>406</v>
      </c>
      <c r="J308" s="1241">
        <f>'[7]KOLOM Print'!I144*3</f>
        <v>12.441599999999999</v>
      </c>
    </row>
    <row r="309" spans="1:10" ht="20.25">
      <c r="A309" s="1220"/>
      <c r="B309" s="1237"/>
      <c r="C309" s="1219"/>
      <c r="D309" s="1220" t="s">
        <v>376</v>
      </c>
      <c r="E309" s="1220" t="s">
        <v>1310</v>
      </c>
      <c r="F309" s="1220"/>
      <c r="G309" s="1220"/>
      <c r="H309" s="1239"/>
      <c r="I309" s="1240"/>
      <c r="J309" s="1241"/>
    </row>
    <row r="310" spans="1:10" ht="20.25">
      <c r="A310" s="1220"/>
      <c r="B310" s="1237"/>
      <c r="C310" s="1219"/>
      <c r="D310" s="1220"/>
      <c r="E310" s="1220" t="s">
        <v>1311</v>
      </c>
      <c r="F310" s="1220"/>
      <c r="G310" s="1220"/>
      <c r="H310" s="1239"/>
      <c r="I310" s="1240" t="s">
        <v>1312</v>
      </c>
      <c r="J310" s="1241">
        <f>'[7]KOLOM Print'!AP144*3</f>
        <v>841.75</v>
      </c>
    </row>
    <row r="311" spans="1:10" ht="20.25">
      <c r="A311" s="1220"/>
      <c r="B311" s="1237"/>
      <c r="C311" s="1219"/>
      <c r="D311" s="1220"/>
      <c r="E311" s="1220" t="s">
        <v>1313</v>
      </c>
      <c r="F311" s="1220"/>
      <c r="G311" s="1220"/>
      <c r="H311" s="1239"/>
      <c r="I311" s="1240" t="s">
        <v>1312</v>
      </c>
      <c r="J311" s="1241">
        <f>'[7]KOLOM Print'!AR144*3</f>
        <v>782.02519199999983</v>
      </c>
    </row>
    <row r="312" spans="1:10" ht="20.25">
      <c r="A312" s="1220"/>
      <c r="B312" s="1237"/>
      <c r="C312" s="1219"/>
      <c r="D312" s="1220" t="s">
        <v>379</v>
      </c>
      <c r="E312" s="1220" t="s">
        <v>1314</v>
      </c>
      <c r="F312" s="1220"/>
      <c r="G312" s="1220"/>
      <c r="H312" s="1239"/>
      <c r="I312" s="1240" t="s">
        <v>453</v>
      </c>
      <c r="J312" s="1241">
        <f>'[7]KOLOM Print'!J144*3</f>
        <v>82.944000000000003</v>
      </c>
    </row>
    <row r="313" spans="1:10" ht="20.25">
      <c r="A313" s="1220"/>
      <c r="B313" s="1237"/>
      <c r="C313" s="1219"/>
      <c r="D313" s="1220"/>
      <c r="E313" s="1220"/>
      <c r="F313" s="1220"/>
      <c r="G313" s="1220"/>
      <c r="H313" s="1239"/>
      <c r="I313" s="1240"/>
      <c r="J313" s="1240"/>
    </row>
    <row r="314" spans="1:10" ht="20.25">
      <c r="A314" s="1220"/>
      <c r="B314" s="1237">
        <v>6</v>
      </c>
      <c r="C314" s="1219"/>
      <c r="D314" s="1220" t="s">
        <v>1320</v>
      </c>
      <c r="E314" s="1220"/>
      <c r="F314" s="1220"/>
      <c r="G314" s="1220"/>
      <c r="H314" s="1239"/>
      <c r="I314" s="1240"/>
      <c r="J314" s="1240"/>
    </row>
    <row r="315" spans="1:10" ht="20.25">
      <c r="A315" s="1220"/>
      <c r="B315" s="1237"/>
      <c r="C315" s="1219"/>
      <c r="D315" s="1220" t="s">
        <v>374</v>
      </c>
      <c r="E315" s="1220" t="s">
        <v>1309</v>
      </c>
      <c r="F315" s="1220"/>
      <c r="G315" s="1220"/>
      <c r="H315" s="1239"/>
      <c r="I315" s="1240" t="s">
        <v>406</v>
      </c>
      <c r="J315" s="1241">
        <f>'[7]KOLOM Print'!I145*3</f>
        <v>17.28</v>
      </c>
    </row>
    <row r="316" spans="1:10" ht="20.25">
      <c r="A316" s="1220"/>
      <c r="B316" s="1237"/>
      <c r="C316" s="1219"/>
      <c r="D316" s="1220" t="s">
        <v>376</v>
      </c>
      <c r="E316" s="1220" t="s">
        <v>1310</v>
      </c>
      <c r="F316" s="1220"/>
      <c r="G316" s="1220"/>
      <c r="H316" s="1239"/>
      <c r="I316" s="1240"/>
      <c r="J316" s="1240"/>
    </row>
    <row r="317" spans="1:10" ht="20.25">
      <c r="A317" s="1220"/>
      <c r="B317" s="1237"/>
      <c r="C317" s="1219"/>
      <c r="D317" s="1220"/>
      <c r="E317" s="1220" t="s">
        <v>1311</v>
      </c>
      <c r="F317" s="1220"/>
      <c r="G317" s="1220"/>
      <c r="H317" s="1239"/>
      <c r="I317" s="1240" t="s">
        <v>1312</v>
      </c>
      <c r="J317" s="1241">
        <f>'[7]KOLOM Print'!AP145*3</f>
        <v>420.875</v>
      </c>
    </row>
    <row r="318" spans="1:10" ht="20.25">
      <c r="A318" s="1220"/>
      <c r="B318" s="1237"/>
      <c r="C318" s="1219"/>
      <c r="D318" s="1220"/>
      <c r="E318" s="1220" t="s">
        <v>1313</v>
      </c>
      <c r="F318" s="1220"/>
      <c r="G318" s="1220"/>
      <c r="H318" s="1239"/>
      <c r="I318" s="1240" t="s">
        <v>1312</v>
      </c>
      <c r="J318" s="1241">
        <f>'[7]KOLOM Print'!AR145*3</f>
        <v>661.14219599999979</v>
      </c>
    </row>
    <row r="319" spans="1:10" ht="20.25">
      <c r="A319" s="1220"/>
      <c r="B319" s="1237"/>
      <c r="C319" s="1219"/>
      <c r="D319" s="1220" t="s">
        <v>379</v>
      </c>
      <c r="E319" s="1220" t="s">
        <v>1314</v>
      </c>
      <c r="F319" s="1220"/>
      <c r="G319" s="1220"/>
      <c r="H319" s="1239"/>
      <c r="I319" s="1240" t="s">
        <v>453</v>
      </c>
      <c r="J319" s="1241">
        <f>'[7]KOLOM Print'!J145*3</f>
        <v>69.12</v>
      </c>
    </row>
    <row r="320" spans="1:10" ht="21" thickBot="1">
      <c r="A320" s="1220"/>
      <c r="B320" s="1242"/>
      <c r="C320" s="1243"/>
      <c r="D320" s="1244"/>
      <c r="E320" s="1244"/>
      <c r="F320" s="1244"/>
      <c r="G320" s="1244"/>
      <c r="H320" s="1245"/>
      <c r="I320" s="1246"/>
      <c r="J320" s="1247"/>
    </row>
    <row r="321" spans="1:10" ht="20.25">
      <c r="A321" s="1220"/>
      <c r="B321" s="1261"/>
      <c r="C321" s="1262"/>
      <c r="D321" s="1250" t="s">
        <v>952</v>
      </c>
      <c r="E321" s="1251"/>
      <c r="F321" s="1251"/>
      <c r="G321" s="1251"/>
      <c r="H321" s="1252"/>
      <c r="I321" s="1253"/>
      <c r="J321" s="1253"/>
    </row>
    <row r="322" spans="1:10" ht="20.25">
      <c r="A322" s="1220"/>
      <c r="B322" s="1257">
        <v>1</v>
      </c>
      <c r="C322" s="1220" t="s">
        <v>1308</v>
      </c>
      <c r="D322" s="1220"/>
      <c r="E322" s="1220"/>
      <c r="F322" s="1220"/>
      <c r="G322" s="1220"/>
      <c r="H322" s="1221"/>
      <c r="I322" s="1240"/>
      <c r="J322" s="1240"/>
    </row>
    <row r="323" spans="1:10" ht="20.25">
      <c r="A323" s="1220"/>
      <c r="B323" s="1257"/>
      <c r="C323" s="1220" t="s">
        <v>374</v>
      </c>
      <c r="D323" s="1220"/>
      <c r="E323" s="1220" t="s">
        <v>1309</v>
      </c>
      <c r="F323" s="1220"/>
      <c r="G323" s="1220"/>
      <c r="H323" s="1221"/>
      <c r="I323" s="1240" t="s">
        <v>406</v>
      </c>
      <c r="J323" s="1241">
        <f>'[7]KOLOM Print'!I172*3</f>
        <v>36.72</v>
      </c>
    </row>
    <row r="324" spans="1:10" ht="20.25">
      <c r="A324" s="1220"/>
      <c r="B324" s="1257"/>
      <c r="C324" s="1220" t="s">
        <v>376</v>
      </c>
      <c r="D324" s="1220"/>
      <c r="E324" s="1220" t="s">
        <v>1310</v>
      </c>
      <c r="F324" s="1220"/>
      <c r="G324" s="1220"/>
      <c r="H324" s="1221"/>
      <c r="I324" s="1240"/>
      <c r="J324" s="1240"/>
    </row>
    <row r="325" spans="1:10" ht="20.25">
      <c r="A325" s="1220"/>
      <c r="B325" s="1257"/>
      <c r="C325" s="1220"/>
      <c r="D325" s="1220"/>
      <c r="E325" s="1220" t="s">
        <v>1311</v>
      </c>
      <c r="F325" s="1220"/>
      <c r="G325" s="1220"/>
      <c r="H325" s="1221"/>
      <c r="I325" s="1240" t="s">
        <v>1312</v>
      </c>
      <c r="J325" s="1241">
        <f>'[7]KOLOM Print'!AP172*3</f>
        <v>5142.4624640000002</v>
      </c>
    </row>
    <row r="326" spans="1:10" ht="20.25">
      <c r="A326" s="1220"/>
      <c r="B326" s="1257"/>
      <c r="C326" s="1220"/>
      <c r="D326" s="1220"/>
      <c r="E326" s="1220" t="s">
        <v>1313</v>
      </c>
      <c r="F326" s="1220"/>
      <c r="G326" s="1220"/>
      <c r="H326" s="1221"/>
      <c r="I326" s="1240" t="s">
        <v>1312</v>
      </c>
      <c r="J326" s="1241">
        <f>'[7]KOLOM Print'!AR172*3</f>
        <v>1596.4019999999996</v>
      </c>
    </row>
    <row r="327" spans="1:10" ht="20.25">
      <c r="A327" s="1220"/>
      <c r="B327" s="1257"/>
      <c r="C327" s="1220" t="s">
        <v>379</v>
      </c>
      <c r="D327" s="1220"/>
      <c r="E327" s="1220" t="s">
        <v>1314</v>
      </c>
      <c r="F327" s="1220"/>
      <c r="G327" s="1220"/>
      <c r="H327" s="1221"/>
      <c r="I327" s="1240" t="s">
        <v>453</v>
      </c>
      <c r="J327" s="1241">
        <f>'[7]KOLOM Print'!J172*3</f>
        <v>293.76</v>
      </c>
    </row>
    <row r="328" spans="1:10" ht="20.25">
      <c r="A328" s="1220"/>
      <c r="B328" s="1257"/>
      <c r="C328" s="1219"/>
      <c r="D328" s="1220"/>
      <c r="E328" s="1220"/>
      <c r="F328" s="1220"/>
      <c r="G328" s="1220"/>
      <c r="H328" s="1239"/>
      <c r="I328" s="1240"/>
      <c r="J328" s="1240"/>
    </row>
    <row r="329" spans="1:10" ht="20.25">
      <c r="A329" s="1220"/>
      <c r="B329" s="1257">
        <v>2</v>
      </c>
      <c r="C329" s="1220" t="s">
        <v>1315</v>
      </c>
      <c r="D329" s="1220"/>
      <c r="E329" s="1220"/>
      <c r="F329" s="1220"/>
      <c r="G329" s="1220"/>
      <c r="H329" s="1221"/>
      <c r="I329" s="1240"/>
      <c r="J329" s="1240"/>
    </row>
    <row r="330" spans="1:10" ht="20.25">
      <c r="A330" s="1220"/>
      <c r="B330" s="1257"/>
      <c r="C330" s="1220" t="s">
        <v>374</v>
      </c>
      <c r="D330" s="1220"/>
      <c r="E330" s="1220" t="s">
        <v>1309</v>
      </c>
      <c r="F330" s="1220"/>
      <c r="G330" s="1220"/>
      <c r="H330" s="1221"/>
      <c r="I330" s="1240" t="s">
        <v>406</v>
      </c>
      <c r="J330" s="1241">
        <f>'[7]KOLOM Print'!I173*3</f>
        <v>12.441599999999999</v>
      </c>
    </row>
    <row r="331" spans="1:10" ht="20.25">
      <c r="A331" s="1220"/>
      <c r="B331" s="1257"/>
      <c r="C331" s="1220" t="s">
        <v>376</v>
      </c>
      <c r="D331" s="1220"/>
      <c r="E331" s="1220" t="s">
        <v>1310</v>
      </c>
      <c r="F331" s="1220"/>
      <c r="G331" s="1220"/>
      <c r="H331" s="1221"/>
      <c r="I331" s="1240"/>
      <c r="J331" s="1240"/>
    </row>
    <row r="332" spans="1:10" ht="20.25">
      <c r="A332" s="1220"/>
      <c r="B332" s="1257"/>
      <c r="C332" s="1220"/>
      <c r="D332" s="1220"/>
      <c r="E332" s="1220" t="s">
        <v>1311</v>
      </c>
      <c r="F332" s="1220"/>
      <c r="G332" s="1220"/>
      <c r="H332" s="1221"/>
      <c r="I332" s="1240" t="s">
        <v>1312</v>
      </c>
      <c r="J332" s="1241">
        <f>'[7]KOLOM Print'!AF173*3</f>
        <v>383.23199999999997</v>
      </c>
    </row>
    <row r="333" spans="1:10" ht="20.25">
      <c r="A333" s="1220"/>
      <c r="B333" s="1257"/>
      <c r="C333" s="1220"/>
      <c r="D333" s="1220"/>
      <c r="E333" s="1220" t="s">
        <v>1327</v>
      </c>
      <c r="F333" s="1220"/>
      <c r="G333" s="1220"/>
      <c r="H333" s="1221"/>
      <c r="I333" s="1240" t="s">
        <v>1312</v>
      </c>
      <c r="J333" s="1241">
        <f>'[7]KOLOM Print'!AG173*3</f>
        <v>401.08799999999997</v>
      </c>
    </row>
    <row r="334" spans="1:10" ht="20.25">
      <c r="A334" s="1220"/>
      <c r="B334" s="1257"/>
      <c r="C334" s="1220"/>
      <c r="D334" s="1220"/>
      <c r="E334" s="1220" t="s">
        <v>1313</v>
      </c>
      <c r="F334" s="1220"/>
      <c r="G334" s="1220"/>
      <c r="H334" s="1221"/>
      <c r="I334" s="1240" t="s">
        <v>1312</v>
      </c>
      <c r="J334" s="1241">
        <f>'[7]KOLOM Print'!AR173*3</f>
        <v>455.54399999999987</v>
      </c>
    </row>
    <row r="335" spans="1:10" ht="20.25">
      <c r="A335" s="1220"/>
      <c r="B335" s="1257"/>
      <c r="C335" s="1220" t="s">
        <v>379</v>
      </c>
      <c r="D335" s="1220"/>
      <c r="E335" s="1220" t="s">
        <v>1314</v>
      </c>
      <c r="F335" s="1220"/>
      <c r="G335" s="1220"/>
      <c r="H335" s="1221"/>
      <c r="I335" s="1240" t="s">
        <v>453</v>
      </c>
      <c r="J335" s="1241">
        <f>'[7]KOLOM Print'!J172*3</f>
        <v>293.76</v>
      </c>
    </row>
    <row r="336" spans="1:10" ht="20.25">
      <c r="A336" s="1220"/>
      <c r="B336" s="1257"/>
      <c r="C336" s="1219"/>
      <c r="D336" s="1220"/>
      <c r="E336" s="1220"/>
      <c r="F336" s="1220"/>
      <c r="G336" s="1220"/>
      <c r="H336" s="1239"/>
      <c r="I336" s="1240"/>
      <c r="J336" s="1240"/>
    </row>
    <row r="337" spans="1:10" ht="20.25">
      <c r="A337" s="1220"/>
      <c r="B337" s="1237">
        <v>5</v>
      </c>
      <c r="C337" s="1219"/>
      <c r="D337" s="1220" t="s">
        <v>1319</v>
      </c>
      <c r="E337" s="1220"/>
      <c r="F337" s="1220"/>
      <c r="G337" s="1220"/>
      <c r="H337" s="1239"/>
      <c r="I337" s="1240"/>
      <c r="J337" s="1241"/>
    </row>
    <row r="338" spans="1:10" ht="20.25">
      <c r="A338" s="1220"/>
      <c r="B338" s="1237"/>
      <c r="C338" s="1219"/>
      <c r="D338" s="1220" t="s">
        <v>374</v>
      </c>
      <c r="E338" s="1220" t="s">
        <v>1309</v>
      </c>
      <c r="F338" s="1220"/>
      <c r="G338" s="1220"/>
      <c r="H338" s="1239"/>
      <c r="I338" s="1240" t="s">
        <v>406</v>
      </c>
      <c r="J338" s="1241">
        <f>'[7]KOLOM Print'!I174*3</f>
        <v>8.64</v>
      </c>
    </row>
    <row r="339" spans="1:10" ht="20.25">
      <c r="A339" s="1220"/>
      <c r="B339" s="1237"/>
      <c r="C339" s="1219"/>
      <c r="D339" s="1220" t="s">
        <v>376</v>
      </c>
      <c r="E339" s="1220" t="s">
        <v>1310</v>
      </c>
      <c r="F339" s="1220"/>
      <c r="G339" s="1220"/>
      <c r="H339" s="1239"/>
      <c r="I339" s="1240"/>
      <c r="J339" s="1241"/>
    </row>
    <row r="340" spans="1:10" ht="20.25">
      <c r="A340" s="1220"/>
      <c r="B340" s="1237"/>
      <c r="C340" s="1219"/>
      <c r="D340" s="1220"/>
      <c r="E340" s="1220" t="s">
        <v>1311</v>
      </c>
      <c r="F340" s="1220"/>
      <c r="G340" s="1220"/>
      <c r="H340" s="1239"/>
      <c r="I340" s="1240" t="s">
        <v>1312</v>
      </c>
      <c r="J340" s="1241">
        <f>'[7]KOLOM Print'!AP174</f>
        <v>595.25915733333329</v>
      </c>
    </row>
    <row r="341" spans="1:10" ht="20.25">
      <c r="A341" s="1220"/>
      <c r="B341" s="1237"/>
      <c r="C341" s="1219"/>
      <c r="D341" s="1220"/>
      <c r="E341" s="1220" t="s">
        <v>1313</v>
      </c>
      <c r="F341" s="1220"/>
      <c r="G341" s="1220"/>
      <c r="H341" s="1239"/>
      <c r="I341" s="1240" t="s">
        <v>1312</v>
      </c>
      <c r="J341" s="1241">
        <f>'[7]KOLOM Print'!AR174*3</f>
        <v>375.62399999999997</v>
      </c>
    </row>
    <row r="342" spans="1:10" ht="20.25">
      <c r="A342" s="1220"/>
      <c r="B342" s="1237"/>
      <c r="C342" s="1219"/>
      <c r="D342" s="1220" t="s">
        <v>379</v>
      </c>
      <c r="E342" s="1220" t="s">
        <v>1314</v>
      </c>
      <c r="F342" s="1220"/>
      <c r="G342" s="1220"/>
      <c r="H342" s="1239"/>
      <c r="I342" s="1240" t="s">
        <v>453</v>
      </c>
      <c r="J342" s="1241">
        <f>'[7]KOLOM Print'!J174*3</f>
        <v>69.12</v>
      </c>
    </row>
    <row r="343" spans="1:10" ht="20.25">
      <c r="A343" s="1220"/>
      <c r="B343" s="1237"/>
      <c r="C343" s="1219"/>
      <c r="D343" s="1220"/>
      <c r="E343" s="1220"/>
      <c r="F343" s="1220"/>
      <c r="G343" s="1220"/>
      <c r="H343" s="1239"/>
      <c r="I343" s="1240"/>
      <c r="J343" s="1240"/>
    </row>
    <row r="344" spans="1:10" ht="20.25">
      <c r="A344" s="1220"/>
      <c r="B344" s="1237">
        <v>6</v>
      </c>
      <c r="C344" s="1219"/>
      <c r="D344" s="1220" t="s">
        <v>1320</v>
      </c>
      <c r="E344" s="1220"/>
      <c r="F344" s="1220"/>
      <c r="G344" s="1220"/>
      <c r="H344" s="1239"/>
      <c r="I344" s="1240"/>
      <c r="J344" s="1240"/>
    </row>
    <row r="345" spans="1:10" ht="20.25">
      <c r="A345" s="1220"/>
      <c r="B345" s="1237"/>
      <c r="C345" s="1219"/>
      <c r="D345" s="1220" t="s">
        <v>374</v>
      </c>
      <c r="E345" s="1220" t="s">
        <v>1309</v>
      </c>
      <c r="F345" s="1220"/>
      <c r="G345" s="1220"/>
      <c r="H345" s="1239"/>
      <c r="I345" s="1240" t="s">
        <v>406</v>
      </c>
      <c r="J345" s="1241">
        <f>'[7]KOLOM Print'!I175</f>
        <v>3.6863999999999999</v>
      </c>
    </row>
    <row r="346" spans="1:10" ht="20.25">
      <c r="A346" s="1220"/>
      <c r="B346" s="1237"/>
      <c r="C346" s="1219"/>
      <c r="D346" s="1220" t="s">
        <v>376</v>
      </c>
      <c r="E346" s="1220" t="s">
        <v>1310</v>
      </c>
      <c r="F346" s="1220"/>
      <c r="G346" s="1220"/>
      <c r="H346" s="1239"/>
      <c r="I346" s="1240"/>
      <c r="J346" s="1240"/>
    </row>
    <row r="347" spans="1:10" ht="20.25">
      <c r="A347" s="1220"/>
      <c r="B347" s="1237"/>
      <c r="C347" s="1219"/>
      <c r="D347" s="1220"/>
      <c r="E347" s="1220" t="s">
        <v>1311</v>
      </c>
      <c r="F347" s="1220"/>
      <c r="G347" s="1220"/>
      <c r="H347" s="1239"/>
      <c r="I347" s="1240" t="s">
        <v>1312</v>
      </c>
      <c r="J347" s="1241">
        <f>'[7]KOLOM Print'!AP195*3</f>
        <v>1683.5</v>
      </c>
    </row>
    <row r="348" spans="1:10" ht="20.25">
      <c r="A348" s="1220"/>
      <c r="B348" s="1237"/>
      <c r="C348" s="1219"/>
      <c r="D348" s="1220"/>
      <c r="E348" s="1220" t="s">
        <v>1313</v>
      </c>
      <c r="F348" s="1220"/>
      <c r="G348" s="1220"/>
      <c r="H348" s="1239"/>
      <c r="I348" s="1240" t="s">
        <v>1312</v>
      </c>
      <c r="J348" s="1241">
        <f>'[7]KOLOM Print'!AR195*3</f>
        <v>307.69199999999995</v>
      </c>
    </row>
    <row r="349" spans="1:10" ht="20.25">
      <c r="A349" s="1220"/>
      <c r="B349" s="1237"/>
      <c r="C349" s="1219"/>
      <c r="D349" s="1220" t="s">
        <v>379</v>
      </c>
      <c r="E349" s="1220" t="s">
        <v>1314</v>
      </c>
      <c r="F349" s="1220"/>
      <c r="G349" s="1220"/>
      <c r="H349" s="1239"/>
      <c r="I349" s="1240" t="s">
        <v>453</v>
      </c>
      <c r="J349" s="1241">
        <f>'[7]KOLOM Print'!J195*3</f>
        <v>55.295999999999992</v>
      </c>
    </row>
    <row r="350" spans="1:10" ht="20.25">
      <c r="A350" s="1220"/>
      <c r="B350" s="1237"/>
      <c r="C350" s="1219"/>
      <c r="D350" s="1220"/>
      <c r="E350" s="1220"/>
      <c r="F350" s="1220"/>
      <c r="G350" s="1220"/>
      <c r="H350" s="1239"/>
      <c r="I350" s="1240"/>
      <c r="J350" s="1241"/>
    </row>
    <row r="351" spans="1:10" ht="20.25">
      <c r="A351" s="1220"/>
      <c r="B351" s="1257"/>
      <c r="C351" s="1258"/>
      <c r="D351" s="1238" t="s">
        <v>1329</v>
      </c>
      <c r="E351" s="1220"/>
      <c r="F351" s="1220"/>
      <c r="G351" s="1220"/>
      <c r="H351" s="1239"/>
      <c r="I351" s="1240"/>
      <c r="J351" s="1240"/>
    </row>
    <row r="352" spans="1:10" ht="20.25">
      <c r="A352" s="1220"/>
      <c r="B352" s="1257">
        <v>1</v>
      </c>
      <c r="C352" s="1220" t="s">
        <v>1308</v>
      </c>
      <c r="D352" s="1220"/>
      <c r="E352" s="1220"/>
      <c r="F352" s="1220"/>
      <c r="G352" s="1220"/>
      <c r="H352" s="1221"/>
      <c r="I352" s="1240"/>
      <c r="J352" s="1240"/>
    </row>
    <row r="353" spans="1:10" ht="20.25">
      <c r="A353" s="1220"/>
      <c r="B353" s="1257"/>
      <c r="C353" s="1220" t="s">
        <v>374</v>
      </c>
      <c r="D353" s="1220"/>
      <c r="E353" s="1220" t="s">
        <v>1309</v>
      </c>
      <c r="F353" s="1220"/>
      <c r="G353" s="1220"/>
      <c r="H353" s="1221"/>
      <c r="I353" s="1240" t="s">
        <v>406</v>
      </c>
      <c r="J353" s="1241">
        <f>'[7]KOLOM Print'!I202*2</f>
        <v>24.48</v>
      </c>
    </row>
    <row r="354" spans="1:10" ht="20.25">
      <c r="A354" s="1220"/>
      <c r="B354" s="1257"/>
      <c r="C354" s="1220" t="s">
        <v>376</v>
      </c>
      <c r="D354" s="1220"/>
      <c r="E354" s="1220" t="s">
        <v>1310</v>
      </c>
      <c r="F354" s="1220"/>
      <c r="G354" s="1220"/>
      <c r="H354" s="1221"/>
      <c r="I354" s="1240"/>
      <c r="J354" s="1240"/>
    </row>
    <row r="355" spans="1:10" ht="20.25">
      <c r="A355" s="1220"/>
      <c r="B355" s="1257"/>
      <c r="C355" s="1220"/>
      <c r="D355" s="1220"/>
      <c r="E355" s="1220" t="s">
        <v>1311</v>
      </c>
      <c r="F355" s="1220"/>
      <c r="G355" s="1220"/>
      <c r="H355" s="1221"/>
      <c r="I355" s="1240" t="s">
        <v>1312</v>
      </c>
      <c r="J355" s="1241">
        <f>'[7]KOLOM Print'!AP202*2</f>
        <v>3428.3083093333335</v>
      </c>
    </row>
    <row r="356" spans="1:10" ht="20.25">
      <c r="A356" s="1220"/>
      <c r="B356" s="1257"/>
      <c r="C356" s="1220"/>
      <c r="D356" s="1220"/>
      <c r="E356" s="1220" t="s">
        <v>1313</v>
      </c>
      <c r="F356" s="1220"/>
      <c r="G356" s="1220"/>
      <c r="H356" s="1221"/>
      <c r="I356" s="1240" t="s">
        <v>1312</v>
      </c>
      <c r="J356" s="1241">
        <f>'[7]KOLOM Print'!AR202*2</f>
        <v>1064.2679999999998</v>
      </c>
    </row>
    <row r="357" spans="1:10" ht="20.25">
      <c r="A357" s="1220"/>
      <c r="B357" s="1257"/>
      <c r="C357" s="1220" t="s">
        <v>379</v>
      </c>
      <c r="D357" s="1220"/>
      <c r="E357" s="1220" t="s">
        <v>1314</v>
      </c>
      <c r="F357" s="1220"/>
      <c r="G357" s="1220"/>
      <c r="H357" s="1221"/>
      <c r="I357" s="1240" t="s">
        <v>453</v>
      </c>
      <c r="J357" s="1241">
        <f>'[7]KOLOM Print'!J202*2</f>
        <v>195.84</v>
      </c>
    </row>
    <row r="358" spans="1:10" ht="20.25">
      <c r="A358" s="1220"/>
      <c r="B358" s="1257"/>
      <c r="C358" s="1219"/>
      <c r="D358" s="1220"/>
      <c r="E358" s="1220"/>
      <c r="F358" s="1220"/>
      <c r="G358" s="1220"/>
      <c r="H358" s="1239"/>
      <c r="I358" s="1240"/>
      <c r="J358" s="1240"/>
    </row>
    <row r="359" spans="1:10" ht="20.25">
      <c r="A359" s="1220"/>
      <c r="B359" s="1257">
        <v>2</v>
      </c>
      <c r="C359" s="1220" t="s">
        <v>1315</v>
      </c>
      <c r="D359" s="1220"/>
      <c r="E359" s="1220"/>
      <c r="F359" s="1220"/>
      <c r="G359" s="1220"/>
      <c r="H359" s="1221"/>
      <c r="I359" s="1240"/>
      <c r="J359" s="1240"/>
    </row>
    <row r="360" spans="1:10" ht="20.25">
      <c r="A360" s="1220"/>
      <c r="B360" s="1257"/>
      <c r="C360" s="1220" t="s">
        <v>374</v>
      </c>
      <c r="D360" s="1220"/>
      <c r="E360" s="1220" t="s">
        <v>1309</v>
      </c>
      <c r="F360" s="1220"/>
      <c r="G360" s="1220"/>
      <c r="H360" s="1221"/>
      <c r="I360" s="1240" t="s">
        <v>406</v>
      </c>
      <c r="J360" s="1241">
        <f>'[7]KOLOM Print'!I203*2</f>
        <v>8.2943999999999996</v>
      </c>
    </row>
    <row r="361" spans="1:10" ht="20.25">
      <c r="A361" s="1220"/>
      <c r="B361" s="1257"/>
      <c r="C361" s="1220" t="s">
        <v>376</v>
      </c>
      <c r="D361" s="1220"/>
      <c r="E361" s="1220" t="s">
        <v>1310</v>
      </c>
      <c r="F361" s="1220"/>
      <c r="G361" s="1220"/>
      <c r="H361" s="1221"/>
      <c r="I361" s="1240"/>
      <c r="J361" s="1240"/>
    </row>
    <row r="362" spans="1:10" ht="20.25">
      <c r="A362" s="1220"/>
      <c r="B362" s="1257"/>
      <c r="C362" s="1220"/>
      <c r="D362" s="1220"/>
      <c r="E362" s="1220" t="s">
        <v>1311</v>
      </c>
      <c r="F362" s="1220"/>
      <c r="G362" s="1220"/>
      <c r="H362" s="1221"/>
      <c r="I362" s="1240" t="s">
        <v>1312</v>
      </c>
      <c r="J362" s="1241">
        <f>'[7]KOLOM Print'!AF203*2</f>
        <v>510.976</v>
      </c>
    </row>
    <row r="363" spans="1:10" ht="20.25">
      <c r="A363" s="1220"/>
      <c r="B363" s="1257"/>
      <c r="C363" s="1220"/>
      <c r="D363" s="1220"/>
      <c r="E363" s="1220" t="s">
        <v>1313</v>
      </c>
      <c r="F363" s="1220"/>
      <c r="G363" s="1220"/>
      <c r="H363" s="1221"/>
      <c r="I363" s="1240" t="s">
        <v>1312</v>
      </c>
      <c r="J363" s="1241">
        <f>'[7]KOLOM Print'!AR203*2</f>
        <v>303.69599999999991</v>
      </c>
    </row>
    <row r="364" spans="1:10" ht="20.25">
      <c r="A364" s="1220"/>
      <c r="B364" s="1257"/>
      <c r="C364" s="1220" t="s">
        <v>379</v>
      </c>
      <c r="D364" s="1220"/>
      <c r="E364" s="1220" t="s">
        <v>1314</v>
      </c>
      <c r="F364" s="1220"/>
      <c r="G364" s="1220"/>
      <c r="H364" s="1221"/>
      <c r="I364" s="1240" t="s">
        <v>453</v>
      </c>
      <c r="J364" s="1241">
        <f>'[7]KOLOM Print'!J202*2</f>
        <v>195.84</v>
      </c>
    </row>
    <row r="365" spans="1:10" ht="20.25">
      <c r="A365" s="1220"/>
      <c r="B365" s="1257"/>
      <c r="C365" s="1219"/>
      <c r="D365" s="1220"/>
      <c r="E365" s="1220"/>
      <c r="F365" s="1220"/>
      <c r="G365" s="1220"/>
      <c r="H365" s="1239"/>
      <c r="I365" s="1240"/>
      <c r="J365" s="1240"/>
    </row>
    <row r="366" spans="1:10" ht="20.25">
      <c r="A366" s="1220"/>
      <c r="B366" s="1237">
        <v>5</v>
      </c>
      <c r="C366" s="1219"/>
      <c r="D366" s="1220" t="s">
        <v>1319</v>
      </c>
      <c r="E366" s="1220"/>
      <c r="F366" s="1220"/>
      <c r="G366" s="1220"/>
      <c r="H366" s="1239"/>
      <c r="I366" s="1240"/>
      <c r="J366" s="1241"/>
    </row>
    <row r="367" spans="1:10" ht="20.25">
      <c r="A367" s="1220"/>
      <c r="B367" s="1237"/>
      <c r="C367" s="1219"/>
      <c r="D367" s="1220" t="s">
        <v>374</v>
      </c>
      <c r="E367" s="1220" t="s">
        <v>1309</v>
      </c>
      <c r="F367" s="1220"/>
      <c r="G367" s="1220"/>
      <c r="H367" s="1239"/>
      <c r="I367" s="1240" t="s">
        <v>406</v>
      </c>
      <c r="J367" s="1241">
        <f>'[7]KOLOM Print'!I204*2</f>
        <v>5.76</v>
      </c>
    </row>
    <row r="368" spans="1:10" ht="20.25">
      <c r="A368" s="1220"/>
      <c r="B368" s="1237"/>
      <c r="C368" s="1219"/>
      <c r="D368" s="1220" t="s">
        <v>376</v>
      </c>
      <c r="E368" s="1220" t="s">
        <v>1310</v>
      </c>
      <c r="F368" s="1220"/>
      <c r="G368" s="1220"/>
      <c r="H368" s="1239"/>
      <c r="I368" s="1240"/>
      <c r="J368" s="1241"/>
    </row>
    <row r="369" spans="1:10" ht="20.25">
      <c r="A369" s="1220"/>
      <c r="B369" s="1237"/>
      <c r="C369" s="1219"/>
      <c r="D369" s="1220"/>
      <c r="E369" s="1220" t="s">
        <v>1311</v>
      </c>
      <c r="F369" s="1220"/>
      <c r="G369" s="1220"/>
      <c r="H369" s="1239"/>
      <c r="I369" s="1240" t="s">
        <v>1312</v>
      </c>
      <c r="J369" s="1241">
        <f>'[7]KOLOM Print'!AP204*2</f>
        <v>1190.5183146666666</v>
      </c>
    </row>
    <row r="370" spans="1:10" ht="20.25">
      <c r="A370" s="1220"/>
      <c r="B370" s="1237"/>
      <c r="C370" s="1219"/>
      <c r="D370" s="1220"/>
      <c r="E370" s="1220" t="s">
        <v>1313</v>
      </c>
      <c r="F370" s="1220"/>
      <c r="G370" s="1220"/>
      <c r="H370" s="1239"/>
      <c r="I370" s="1240" t="s">
        <v>1312</v>
      </c>
      <c r="J370" s="1241">
        <f>'[7]KOLOM Print'!AR204*2</f>
        <v>250.41599999999997</v>
      </c>
    </row>
    <row r="371" spans="1:10" ht="20.25">
      <c r="A371" s="1220"/>
      <c r="B371" s="1237"/>
      <c r="C371" s="1219"/>
      <c r="D371" s="1220" t="s">
        <v>379</v>
      </c>
      <c r="E371" s="1220" t="s">
        <v>1314</v>
      </c>
      <c r="F371" s="1220"/>
      <c r="G371" s="1220"/>
      <c r="H371" s="1239"/>
      <c r="I371" s="1240" t="s">
        <v>453</v>
      </c>
      <c r="J371" s="1241">
        <f>'[7]KOLOM Print'!J204*2</f>
        <v>46.08</v>
      </c>
    </row>
    <row r="372" spans="1:10" ht="20.25">
      <c r="A372" s="1220"/>
      <c r="B372" s="1237"/>
      <c r="C372" s="1219"/>
      <c r="D372" s="1220"/>
      <c r="E372" s="1220"/>
      <c r="F372" s="1220"/>
      <c r="G372" s="1220"/>
      <c r="H372" s="1239"/>
      <c r="I372" s="1240"/>
      <c r="J372" s="1240"/>
    </row>
    <row r="373" spans="1:10" ht="20.25">
      <c r="A373" s="1220"/>
      <c r="B373" s="1237">
        <v>6</v>
      </c>
      <c r="C373" s="1219"/>
      <c r="D373" s="1220" t="s">
        <v>1320</v>
      </c>
      <c r="E373" s="1220"/>
      <c r="F373" s="1220"/>
      <c r="G373" s="1220"/>
      <c r="H373" s="1239"/>
      <c r="I373" s="1240"/>
      <c r="J373" s="1240"/>
    </row>
    <row r="374" spans="1:10" ht="20.25">
      <c r="A374" s="1220"/>
      <c r="B374" s="1237"/>
      <c r="C374" s="1219"/>
      <c r="D374" s="1220" t="s">
        <v>374</v>
      </c>
      <c r="E374" s="1220" t="s">
        <v>1309</v>
      </c>
      <c r="F374" s="1220"/>
      <c r="G374" s="1220"/>
      <c r="H374" s="1239"/>
      <c r="I374" s="1240" t="s">
        <v>406</v>
      </c>
      <c r="J374" s="1241">
        <f>'[7]KOLOM Print'!I205</f>
        <v>2.8224</v>
      </c>
    </row>
    <row r="375" spans="1:10" ht="20.25">
      <c r="A375" s="1220"/>
      <c r="B375" s="1237"/>
      <c r="C375" s="1219"/>
      <c r="D375" s="1220" t="s">
        <v>376</v>
      </c>
      <c r="E375" s="1220" t="s">
        <v>1310</v>
      </c>
      <c r="F375" s="1220"/>
      <c r="G375" s="1220"/>
      <c r="H375" s="1239"/>
      <c r="I375" s="1240"/>
      <c r="J375" s="1240"/>
    </row>
    <row r="376" spans="1:10" ht="20.25">
      <c r="A376" s="1220"/>
      <c r="B376" s="1237"/>
      <c r="C376" s="1219"/>
      <c r="D376" s="1220"/>
      <c r="E376" s="1220" t="s">
        <v>1311</v>
      </c>
      <c r="F376" s="1220"/>
      <c r="G376" s="1220"/>
      <c r="H376" s="1239"/>
      <c r="I376" s="1240" t="s">
        <v>1312</v>
      </c>
      <c r="J376" s="1241">
        <f>'[7]KOLOM Print'!AP205*2</f>
        <v>595.25915733333329</v>
      </c>
    </row>
    <row r="377" spans="1:10" ht="20.25">
      <c r="A377" s="1220"/>
      <c r="B377" s="1237"/>
      <c r="C377" s="1219"/>
      <c r="D377" s="1220"/>
      <c r="E377" s="1220" t="s">
        <v>1313</v>
      </c>
      <c r="F377" s="1220"/>
      <c r="G377" s="1220"/>
      <c r="H377" s="1239"/>
      <c r="I377" s="1240" t="s">
        <v>1312</v>
      </c>
      <c r="J377" s="1241">
        <f>'[7]KOLOM Print'!AR205*2</f>
        <v>178.48799999999994</v>
      </c>
    </row>
    <row r="378" spans="1:10" ht="20.25">
      <c r="A378" s="1220"/>
      <c r="B378" s="1237"/>
      <c r="C378" s="1219"/>
      <c r="D378" s="1220" t="s">
        <v>379</v>
      </c>
      <c r="E378" s="1220" t="s">
        <v>1314</v>
      </c>
      <c r="F378" s="1220"/>
      <c r="G378" s="1220"/>
      <c r="H378" s="1239"/>
      <c r="I378" s="1240" t="s">
        <v>453</v>
      </c>
      <c r="J378" s="1241">
        <f>'[7]KOLOM Print'!J215*2</f>
        <v>32.256</v>
      </c>
    </row>
    <row r="379" spans="1:10" ht="21" thickBot="1">
      <c r="A379" s="1220"/>
      <c r="B379" s="1242"/>
      <c r="C379" s="1243"/>
      <c r="D379" s="1244"/>
      <c r="E379" s="1244"/>
      <c r="F379" s="1244"/>
      <c r="G379" s="1244"/>
      <c r="H379" s="1245"/>
      <c r="I379" s="1246"/>
      <c r="J379" s="1247"/>
    </row>
  </sheetData>
  <mergeCells count="6">
    <mergeCell ref="A1:J1"/>
    <mergeCell ref="B2:J2"/>
    <mergeCell ref="B4:B5"/>
    <mergeCell ref="C4:H5"/>
    <mergeCell ref="I4:I5"/>
    <mergeCell ref="J4:J5"/>
  </mergeCells>
  <pageMargins left="0.7" right="0.7" top="0.75" bottom="0.75" header="0.3" footer="0.3"/>
  <pageSetup scale="59" orientation="portrait" r:id="rId1"/>
  <rowBreaks count="5" manualBreakCount="5">
    <brk id="50" max="16383" man="1"/>
    <brk id="99" max="16383" man="1"/>
    <brk id="146" max="16383" man="1"/>
    <brk id="202" max="9" man="1"/>
    <brk id="2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1:J272"/>
  <sheetViews>
    <sheetView view="pageBreakPreview" topLeftCell="A114" zoomScale="70" zoomScaleSheetLayoutView="70" workbookViewId="0">
      <selection activeCell="J88" sqref="J88"/>
    </sheetView>
  </sheetViews>
  <sheetFormatPr defaultRowHeight="15"/>
  <cols>
    <col min="1" max="1" width="2.7109375" customWidth="1"/>
    <col min="2" max="2" width="5.5703125" customWidth="1"/>
    <col min="3" max="3" width="3.7109375" customWidth="1"/>
    <col min="4" max="4" width="14.28515625" customWidth="1"/>
    <col min="5" max="5" width="16" customWidth="1"/>
    <col min="6" max="6" width="8.140625" customWidth="1"/>
    <col min="7" max="7" width="13.28515625" customWidth="1"/>
    <col min="8" max="8" width="18.85546875" style="198" customWidth="1"/>
    <col min="9" max="9" width="23.140625" style="198" customWidth="1"/>
    <col min="10" max="10" width="25.42578125" style="198" customWidth="1"/>
    <col min="14" max="14" width="15.28515625" customWidth="1"/>
  </cols>
  <sheetData>
    <row r="1" spans="2:10" ht="15.75" thickBot="1">
      <c r="B1" s="122"/>
      <c r="C1" s="122"/>
      <c r="D1" s="122"/>
      <c r="E1" s="122"/>
      <c r="F1" s="122"/>
      <c r="G1" s="122"/>
      <c r="H1" s="179"/>
      <c r="I1" s="179"/>
      <c r="J1" s="179"/>
    </row>
    <row r="2" spans="2:10" ht="19.5" customHeight="1" thickTop="1">
      <c r="B2" s="680" t="s">
        <v>849</v>
      </c>
      <c r="C2" s="681"/>
      <c r="D2" s="681"/>
      <c r="E2" s="681"/>
      <c r="F2" s="681"/>
      <c r="G2" s="681"/>
      <c r="H2" s="681"/>
      <c r="I2" s="681"/>
      <c r="J2" s="682"/>
    </row>
    <row r="3" spans="2:10" ht="15.75" thickBot="1">
      <c r="B3" s="683"/>
      <c r="C3" s="684"/>
      <c r="D3" s="684"/>
      <c r="E3" s="684"/>
      <c r="F3" s="684"/>
      <c r="G3" s="684"/>
      <c r="H3" s="684"/>
      <c r="I3" s="684"/>
      <c r="J3" s="685"/>
    </row>
    <row r="4" spans="2:10" ht="16.5" thickTop="1" thickBot="1">
      <c r="B4" s="174"/>
      <c r="C4" s="128"/>
      <c r="D4" s="128"/>
      <c r="E4" s="128"/>
      <c r="F4" s="128"/>
      <c r="G4" s="128"/>
      <c r="H4" s="180"/>
      <c r="I4" s="180"/>
      <c r="J4" s="181"/>
    </row>
    <row r="5" spans="2:10" ht="16.5" customHeight="1" thickTop="1">
      <c r="B5" s="672" t="s">
        <v>66</v>
      </c>
      <c r="C5" s="674" t="s">
        <v>370</v>
      </c>
      <c r="D5" s="674"/>
      <c r="E5" s="674"/>
      <c r="F5" s="674" t="s">
        <v>98</v>
      </c>
      <c r="G5" s="676" t="s">
        <v>99</v>
      </c>
      <c r="H5" s="690" t="s">
        <v>582</v>
      </c>
      <c r="I5" s="688" t="s">
        <v>583</v>
      </c>
      <c r="J5" s="678" t="s">
        <v>588</v>
      </c>
    </row>
    <row r="6" spans="2:10" ht="15.75" thickBot="1">
      <c r="B6" s="673"/>
      <c r="C6" s="675"/>
      <c r="D6" s="675"/>
      <c r="E6" s="675"/>
      <c r="F6" s="675"/>
      <c r="G6" s="677"/>
      <c r="H6" s="691"/>
      <c r="I6" s="689"/>
      <c r="J6" s="679"/>
    </row>
    <row r="7" spans="2:10" ht="16.5" thickTop="1">
      <c r="B7" s="158" t="s">
        <v>2</v>
      </c>
      <c r="C7" s="173" t="s">
        <v>371</v>
      </c>
      <c r="D7" s="160"/>
      <c r="E7" s="161"/>
      <c r="F7" s="162"/>
      <c r="G7" s="163"/>
      <c r="H7" s="182"/>
      <c r="I7" s="183"/>
      <c r="J7" s="184"/>
    </row>
    <row r="8" spans="2:10" ht="16.5" thickBot="1">
      <c r="B8" s="152"/>
      <c r="C8" s="153"/>
      <c r="D8" s="154"/>
      <c r="E8" s="155"/>
      <c r="F8" s="156"/>
      <c r="G8" s="157"/>
      <c r="H8" s="185"/>
      <c r="I8" s="186"/>
      <c r="J8" s="187"/>
    </row>
    <row r="9" spans="2:10" ht="17.25" thickTop="1" thickBot="1">
      <c r="B9" s="556">
        <v>1</v>
      </c>
      <c r="C9" s="563" t="s">
        <v>372</v>
      </c>
      <c r="D9" s="564"/>
      <c r="E9" s="557"/>
      <c r="F9" s="558"/>
      <c r="G9" s="565"/>
      <c r="H9" s="560"/>
      <c r="I9" s="566"/>
      <c r="J9" s="562"/>
    </row>
    <row r="10" spans="2:10" ht="16.5" thickTop="1">
      <c r="B10" s="158"/>
      <c r="C10" s="159" t="s">
        <v>947</v>
      </c>
      <c r="D10" s="160"/>
      <c r="E10" s="161"/>
      <c r="F10" s="162"/>
      <c r="G10" s="163"/>
      <c r="H10" s="182"/>
      <c r="I10" s="183"/>
      <c r="J10" s="184"/>
    </row>
    <row r="11" spans="2:10" ht="15.75">
      <c r="B11" s="139"/>
      <c r="C11" s="140" t="s">
        <v>374</v>
      </c>
      <c r="D11" s="141" t="s">
        <v>584</v>
      </c>
      <c r="E11" s="136"/>
      <c r="F11" s="137" t="s">
        <v>375</v>
      </c>
      <c r="G11" s="143">
        <f>[7]Rekapprint!$J$9+[7]Rekapprint!$J$16+[7]Rekapprint!$J$23+[7]Rekapprint!$J$30+[7]Rekapprint!$J$37+[7]Rekapprint!$J$44+[7]Rekapprint!$J$51+[7]Rekapprint!$J$58+[7]Rekapprint!$J$64+[7]Rekapprint!$J$71</f>
        <v>364.52160000000003</v>
      </c>
      <c r="H11" s="188">
        <f>'Analisa Print'!I324</f>
        <v>1311907</v>
      </c>
      <c r="I11" s="189">
        <f>H11*G11</f>
        <v>478218438.69120002</v>
      </c>
      <c r="J11" s="190"/>
    </row>
    <row r="12" spans="2:10" ht="15.75">
      <c r="B12" s="139"/>
      <c r="C12" s="140" t="s">
        <v>376</v>
      </c>
      <c r="D12" s="141" t="s">
        <v>377</v>
      </c>
      <c r="E12" s="136"/>
      <c r="F12" s="137" t="s">
        <v>378</v>
      </c>
      <c r="G12" s="143">
        <f>[7]Rekapprint!$J$13+[7]Rekapprint!$J$20+[7]Rekapprint!$J$27+[7]Rekapprint!$J$34+[7]Rekapprint!$J$41+[7]Rekapprint!$J$48+[7]Rekapprint!$J$55+[7]Rekapprint!$J$62+[7]Rekapprint!$J$68+[7]Rekapprint!$J$75</f>
        <v>1613.9519999999998</v>
      </c>
      <c r="H12" s="188">
        <f>'Analisa Print'!I203</f>
        <v>162541</v>
      </c>
      <c r="I12" s="189">
        <f t="shared" ref="I12:I51" si="0">H12*G12</f>
        <v>262333372.03199998</v>
      </c>
      <c r="J12" s="190"/>
    </row>
    <row r="13" spans="2:10" ht="15.75">
      <c r="B13" s="139"/>
      <c r="C13" s="140" t="s">
        <v>379</v>
      </c>
      <c r="D13" s="141" t="s">
        <v>380</v>
      </c>
      <c r="E13" s="136"/>
      <c r="F13" s="137"/>
      <c r="G13" s="143"/>
      <c r="H13" s="188"/>
      <c r="I13" s="189"/>
      <c r="J13" s="190"/>
    </row>
    <row r="14" spans="2:10" ht="15.75" customHeight="1">
      <c r="B14" s="139"/>
      <c r="C14" s="140"/>
      <c r="D14" s="141" t="s">
        <v>385</v>
      </c>
      <c r="E14" s="141"/>
      <c r="F14" s="137" t="s">
        <v>7</v>
      </c>
      <c r="G14" s="143">
        <f>[7]Rekapprint!$J$11+[7]Rekapprint!$J$18+[7]Rekapprint!$J$39+[7]Rekapprint!$J$46</f>
        <v>23849.583333333328</v>
      </c>
      <c r="H14" s="188">
        <f>'Analisa Print'!I179</f>
        <v>12364</v>
      </c>
      <c r="I14" s="189">
        <f>H14*G14</f>
        <v>294876248.33333325</v>
      </c>
      <c r="J14" s="190"/>
    </row>
    <row r="15" spans="2:10" ht="14.25" customHeight="1">
      <c r="B15" s="139"/>
      <c r="C15" s="140"/>
      <c r="D15" s="141" t="s">
        <v>383</v>
      </c>
      <c r="E15" s="141"/>
      <c r="F15" s="137" t="str">
        <f>F14</f>
        <v>Kg</v>
      </c>
      <c r="G15" s="143">
        <f>[7]Rekapprint!$J$25+[7]Rekapprint!$J$32+[7]Rekapprint!$J$53+[7]Rekapprint!$J$60+[7]Rekapprint!$J$66+[7]Rekapprint!$J$73</f>
        <v>16992.392573333331</v>
      </c>
      <c r="H15" s="188">
        <f>H14</f>
        <v>12364</v>
      </c>
      <c r="I15" s="189">
        <f>H15*G15</f>
        <v>210093941.77669331</v>
      </c>
      <c r="J15" s="190"/>
    </row>
    <row r="16" spans="2:10" ht="15.75">
      <c r="B16" s="139"/>
      <c r="C16" s="140"/>
      <c r="D16" s="141" t="s">
        <v>381</v>
      </c>
      <c r="E16" s="141"/>
      <c r="F16" s="137" t="s">
        <v>7</v>
      </c>
      <c r="G16" s="143">
        <f>[7]Rekapprint!$J$12+[7]Rekapprint!$J$19+[7]Rekapprint!$J$26+[7]Rekapprint!$J$33+[7]Rekapprint!$J$40+[7]Rekapprint!$J$47+[7]Rekapprint!$J$54+[7]Rekapprint!$J$61+[7]Rekapprint!$J$67+[7]Rekapprint!$J$74</f>
        <v>6975.6700139999975</v>
      </c>
      <c r="H16" s="188">
        <f>H14</f>
        <v>12364</v>
      </c>
      <c r="I16" s="189">
        <f t="shared" si="0"/>
        <v>86247184.053095967</v>
      </c>
      <c r="J16" s="190"/>
    </row>
    <row r="17" spans="2:10" ht="15.75">
      <c r="B17" s="139"/>
      <c r="C17" s="140"/>
      <c r="D17" s="141"/>
      <c r="E17" s="136"/>
      <c r="F17" s="137"/>
      <c r="G17" s="143"/>
      <c r="H17" s="188"/>
      <c r="I17" s="189"/>
      <c r="J17" s="190"/>
    </row>
    <row r="18" spans="2:10" ht="15.75">
      <c r="B18" s="134"/>
      <c r="C18" s="142" t="s">
        <v>386</v>
      </c>
      <c r="D18" s="135"/>
      <c r="E18" s="136"/>
      <c r="F18" s="137"/>
      <c r="G18" s="138"/>
      <c r="H18" s="188"/>
      <c r="I18" s="189"/>
      <c r="J18" s="190"/>
    </row>
    <row r="19" spans="2:10" ht="15.75">
      <c r="B19" s="139"/>
      <c r="C19" s="140" t="s">
        <v>374</v>
      </c>
      <c r="D19" s="141" t="s">
        <v>584</v>
      </c>
      <c r="E19" s="136"/>
      <c r="F19" s="137" t="s">
        <v>375</v>
      </c>
      <c r="G19" s="143">
        <f>[7]Rekapprint!$J$78+[7]Rekapprint!$J$85+[7]Rekapprint!$J$92+[7]Rekapprint!$J$99+[7]Rekapprint!$J$106+[7]Rekapprint!$J$113+[7]Rekapprint!$J$120+[7]Rekapprint!$J$127+[7]Rekapprint!$J$134</f>
        <v>137.80799999999999</v>
      </c>
      <c r="H19" s="188">
        <f>H11</f>
        <v>1311907</v>
      </c>
      <c r="I19" s="189">
        <f t="shared" si="0"/>
        <v>180791279.85599998</v>
      </c>
      <c r="J19" s="190"/>
    </row>
    <row r="20" spans="2:10" ht="15.75">
      <c r="B20" s="139"/>
      <c r="C20" s="140" t="s">
        <v>376</v>
      </c>
      <c r="D20" s="141" t="s">
        <v>377</v>
      </c>
      <c r="E20" s="136"/>
      <c r="F20" s="137" t="s">
        <v>378</v>
      </c>
      <c r="G20" s="143">
        <f>[7]Rekapprint!$J$82+[7]Rekapprint!$J$89+[7]Rekapprint!$J$96+[7]Rekapprint!$J$103+[7]Rekapprint!$J$110+[7]Rekapprint!$J$117+[7]Rekapprint!$J$124+[7]Rekapprint!$J$131+[7]Rekapprint!$J$138+[7]Rekapprint!$J$146+[7]Rekapprint!$J$153</f>
        <v>1127.808</v>
      </c>
      <c r="H20" s="188">
        <f>H12</f>
        <v>162541</v>
      </c>
      <c r="I20" s="189">
        <f>H20*G20</f>
        <v>183315040.12799999</v>
      </c>
      <c r="J20" s="190"/>
    </row>
    <row r="21" spans="2:10" ht="15.75">
      <c r="B21" s="139"/>
      <c r="C21" s="140" t="s">
        <v>379</v>
      </c>
      <c r="D21" s="141" t="s">
        <v>380</v>
      </c>
      <c r="E21" s="136"/>
      <c r="F21" s="137"/>
      <c r="G21" s="143"/>
      <c r="H21" s="188"/>
      <c r="I21" s="189"/>
      <c r="J21" s="190"/>
    </row>
    <row r="22" spans="2:10" ht="15.75" customHeight="1">
      <c r="B22" s="139"/>
      <c r="C22" s="140"/>
      <c r="D22" s="141" t="s">
        <v>385</v>
      </c>
      <c r="E22" s="141"/>
      <c r="F22" s="137" t="s">
        <v>7</v>
      </c>
      <c r="G22" s="143">
        <f>[7]Rekapprint!$J$80+[7]Rekapprint!$J$87+[7]Rekapprint!$J$108+[7]Rekapprint!$J$115</f>
        <v>11924.791666666664</v>
      </c>
      <c r="H22" s="188">
        <f>H16</f>
        <v>12364</v>
      </c>
      <c r="I22" s="189">
        <f t="shared" si="0"/>
        <v>147438124.16666663</v>
      </c>
      <c r="J22" s="190"/>
    </row>
    <row r="23" spans="2:10" ht="15.75" customHeight="1">
      <c r="B23" s="139"/>
      <c r="C23" s="140"/>
      <c r="D23" s="141" t="s">
        <v>383</v>
      </c>
      <c r="E23" s="141"/>
      <c r="F23" s="137" t="s">
        <v>7</v>
      </c>
      <c r="G23" s="143">
        <f>[7]Rekapprint!$J$94+[7]Rekapprint!$J$101+[7]Rekapprint!$J$122+[7]Rekapprint!$J$129+[7]Rekapprint!$J$136</f>
        <v>7424.8499400000001</v>
      </c>
      <c r="H23" s="188">
        <f>H22</f>
        <v>12364</v>
      </c>
      <c r="I23" s="189">
        <f t="shared" si="0"/>
        <v>91800844.658160001</v>
      </c>
      <c r="J23" s="190"/>
    </row>
    <row r="24" spans="2:10" ht="15.75">
      <c r="B24" s="139"/>
      <c r="C24" s="140"/>
      <c r="D24" s="141" t="s">
        <v>381</v>
      </c>
      <c r="E24" s="141"/>
      <c r="F24" s="137" t="s">
        <v>7</v>
      </c>
      <c r="G24" s="143">
        <f>[7]Rekapprint!$J$81+[7]Rekapprint!$J$88+[7]Rekapprint!$J$95+[7]Rekapprint!$J$102+[7]Rekapprint!$J$109+[7]Rekapprint!$J$116+[7]Rekapprint!$J$123+[7]Rekapprint!$J$130+[7]Rekapprint!$J$137</f>
        <v>4349.881097999998</v>
      </c>
      <c r="H24" s="188">
        <f>H22</f>
        <v>12364</v>
      </c>
      <c r="I24" s="189">
        <f t="shared" si="0"/>
        <v>53781929.895671979</v>
      </c>
      <c r="J24" s="190"/>
    </row>
    <row r="25" spans="2:10" ht="15.75">
      <c r="B25" s="139"/>
      <c r="C25" s="140"/>
      <c r="D25" s="141"/>
      <c r="E25" s="136"/>
      <c r="F25" s="137"/>
      <c r="G25" s="143"/>
      <c r="H25" s="188"/>
      <c r="I25" s="189"/>
      <c r="J25" s="190"/>
    </row>
    <row r="26" spans="2:10" ht="15.75">
      <c r="B26" s="134"/>
      <c r="C26" s="142" t="s">
        <v>948</v>
      </c>
      <c r="D26" s="135"/>
      <c r="E26" s="136"/>
      <c r="F26" s="137"/>
      <c r="G26" s="138"/>
      <c r="H26" s="188"/>
      <c r="I26" s="189"/>
      <c r="J26" s="190"/>
    </row>
    <row r="27" spans="2:10" ht="15.75">
      <c r="B27" s="139"/>
      <c r="C27" s="140" t="s">
        <v>374</v>
      </c>
      <c r="D27" s="141" t="s">
        <v>584</v>
      </c>
      <c r="E27" s="136"/>
      <c r="F27" s="137" t="s">
        <v>375</v>
      </c>
      <c r="G27" s="143">
        <f>[7]Rekapprint!$J$142+[7]Rekapprint!$J$149+[7]Rekapprint!$J$156+[7]Rekapprint!$J$163+[7]Rekapprint!$J$170+[7]Rekapprint!$J$177+[7]Rekapprint!$J$184+[7]Rekapprint!$J$191+[7]Rekapprint!$J$198</f>
        <v>235.64159999999998</v>
      </c>
      <c r="H27" s="188">
        <f>H19</f>
        <v>1311907</v>
      </c>
      <c r="I27" s="189">
        <f t="shared" si="0"/>
        <v>309139864.53119999</v>
      </c>
      <c r="J27" s="190"/>
    </row>
    <row r="28" spans="2:10" ht="15.75">
      <c r="B28" s="139"/>
      <c r="C28" s="140" t="s">
        <v>376</v>
      </c>
      <c r="D28" s="141" t="s">
        <v>377</v>
      </c>
      <c r="E28" s="136"/>
      <c r="F28" s="137" t="s">
        <v>378</v>
      </c>
      <c r="G28" s="143">
        <f>[7]Rekapprint!$J$146+[7]Rekapprint!$J$153+[7]Rekapprint!$J$160+[7]Rekapprint!$J$167+[7]Rekapprint!$J$174+[7]Rekapprint!$J$181+[7]Rekapprint!$J$188+[7]Rekapprint!$J$195+[7]Rekapprint!$J$202+[7]Rekapprint!$J$210+[7]Rekapprint!$J$217+[7]Rekapprint!$J$224+[7]Rekapprint!$J$231</f>
        <v>1428.4799999999998</v>
      </c>
      <c r="H28" s="188">
        <f>H20</f>
        <v>162541</v>
      </c>
      <c r="I28" s="189">
        <f t="shared" si="0"/>
        <v>232186567.67999998</v>
      </c>
      <c r="J28" s="190"/>
    </row>
    <row r="29" spans="2:10" ht="15.75">
      <c r="B29" s="139"/>
      <c r="C29" s="140" t="s">
        <v>379</v>
      </c>
      <c r="D29" s="141" t="s">
        <v>380</v>
      </c>
      <c r="E29" s="136"/>
      <c r="F29" s="137"/>
      <c r="G29" s="143"/>
      <c r="H29" s="188"/>
      <c r="I29" s="189"/>
      <c r="J29" s="190"/>
    </row>
    <row r="30" spans="2:10" ht="15.75">
      <c r="B30" s="139"/>
      <c r="C30" s="140"/>
      <c r="D30" s="141" t="s">
        <v>385</v>
      </c>
      <c r="E30" s="141"/>
      <c r="F30" s="137" t="s">
        <v>7</v>
      </c>
      <c r="G30" s="143">
        <f>[7]Rekapprint!$J$144+[7]Rekapprint!$J$151+[7]Rekapprint!$J$172+[7]Rekapprint!$J$179</f>
        <v>20342.291666666668</v>
      </c>
      <c r="H30" s="188">
        <f>H23</f>
        <v>12364</v>
      </c>
      <c r="I30" s="189">
        <f t="shared" si="0"/>
        <v>251512094.16666669</v>
      </c>
      <c r="J30" s="190"/>
    </row>
    <row r="31" spans="2:10" ht="15.75" hidden="1">
      <c r="B31" s="139"/>
      <c r="C31" s="140"/>
      <c r="D31" s="141" t="s">
        <v>384</v>
      </c>
      <c r="E31" s="141"/>
      <c r="F31" s="137" t="s">
        <v>7</v>
      </c>
      <c r="G31" s="143">
        <f>[4]K2A!$AH$28+[4]K2A3!$AH$28+'[4]K2A1, K2A2 &amp; K3S'!$AH$21+'[4]K2 - K2G &amp; K3'!$AH$21+[4]K1!$AH$21</f>
        <v>32243.059884959988</v>
      </c>
      <c r="H31" s="188">
        <f>H30</f>
        <v>12364</v>
      </c>
      <c r="I31" s="189">
        <f t="shared" si="0"/>
        <v>398653192.41764528</v>
      </c>
      <c r="J31" s="190"/>
    </row>
    <row r="32" spans="2:10" ht="14.25" customHeight="1">
      <c r="B32" s="139"/>
      <c r="C32" s="140"/>
      <c r="D32" s="141" t="s">
        <v>383</v>
      </c>
      <c r="E32" s="141"/>
      <c r="F32" s="137" t="s">
        <v>7</v>
      </c>
      <c r="G32" s="143">
        <f>[7]Rekapprint!$J$158+[7]Rekapprint!$J$165+[7]Rekapprint!$J$186+[7]Rekapprint!$J$193+[7]Rekapprint!$J$200</f>
        <v>13891.790205333333</v>
      </c>
      <c r="H32" s="188">
        <f>H31</f>
        <v>12364</v>
      </c>
      <c r="I32" s="189">
        <f t="shared" si="0"/>
        <v>171758094.09874132</v>
      </c>
      <c r="J32" s="190"/>
    </row>
    <row r="33" spans="2:10" ht="0.75" hidden="1" customHeight="1">
      <c r="B33" s="139"/>
      <c r="C33" s="140"/>
      <c r="D33" s="141"/>
      <c r="E33" s="141"/>
      <c r="F33" s="137"/>
      <c r="G33" s="143"/>
      <c r="H33" s="188"/>
      <c r="I33" s="189"/>
      <c r="J33" s="190"/>
    </row>
    <row r="34" spans="2:10" ht="15.75">
      <c r="B34" s="139"/>
      <c r="C34" s="140"/>
      <c r="D34" s="141" t="s">
        <v>381</v>
      </c>
      <c r="E34" s="141"/>
      <c r="F34" s="137" t="s">
        <v>7</v>
      </c>
      <c r="G34" s="143">
        <f>[7]Rekapprint!$J$145+[7]Rekapprint!$J$152+[7]Rekapprint!$J$159+[7]Rekapprint!$J$166+[7]Rekapprint!$J$173+[7]Rekapprint!$J$180+[7]Rekapprint!$J$187+[7]Rekapprint!$J$194+[7]Rekapprint!$J$201</f>
        <v>8109.0148679999984</v>
      </c>
      <c r="H34" s="188">
        <f>H32</f>
        <v>12364</v>
      </c>
      <c r="I34" s="189">
        <f t="shared" si="0"/>
        <v>100259859.82795198</v>
      </c>
      <c r="J34" s="190"/>
    </row>
    <row r="35" spans="2:10" ht="15.75">
      <c r="B35" s="139"/>
      <c r="C35" s="140"/>
      <c r="D35" s="141"/>
      <c r="E35" s="136"/>
      <c r="F35" s="137"/>
      <c r="G35" s="143"/>
      <c r="H35" s="188"/>
      <c r="I35" s="189"/>
      <c r="J35" s="190"/>
    </row>
    <row r="36" spans="2:10" ht="15.75">
      <c r="B36" s="134"/>
      <c r="C36" s="142" t="s">
        <v>389</v>
      </c>
      <c r="D36" s="135"/>
      <c r="E36" s="136"/>
      <c r="F36" s="137"/>
      <c r="G36" s="138"/>
      <c r="H36" s="188"/>
      <c r="I36" s="189"/>
      <c r="J36" s="190"/>
    </row>
    <row r="37" spans="2:10" ht="15.75">
      <c r="B37" s="139"/>
      <c r="C37" s="140" t="s">
        <v>374</v>
      </c>
      <c r="D37" s="141" t="s">
        <v>584</v>
      </c>
      <c r="E37" s="136"/>
      <c r="F37" s="137" t="s">
        <v>375</v>
      </c>
      <c r="G37" s="143">
        <f>[7]Rekapprint!$J$206+[7]Rekapprint!$J$213+[7]Rekapprint!$J$220+[7]Rekapprint!$J$227</f>
        <v>41.587199999999996</v>
      </c>
      <c r="H37" s="188">
        <f>H27</f>
        <v>1311907</v>
      </c>
      <c r="I37" s="189">
        <f t="shared" si="0"/>
        <v>54558538.790399991</v>
      </c>
      <c r="J37" s="190"/>
    </row>
    <row r="38" spans="2:10" ht="15.75">
      <c r="B38" s="139"/>
      <c r="C38" s="140" t="s">
        <v>376</v>
      </c>
      <c r="D38" s="141" t="s">
        <v>377</v>
      </c>
      <c r="E38" s="136"/>
      <c r="F38" s="137" t="s">
        <v>378</v>
      </c>
      <c r="G38" s="143">
        <f>[7]Rekapprint!$J$210+[7]Rekapprint!$J$217+[7]Rekapprint!$J$224+[7]Rekapprint!$J$231</f>
        <v>241.92000000000002</v>
      </c>
      <c r="H38" s="188">
        <f>H28</f>
        <v>162541</v>
      </c>
      <c r="I38" s="189">
        <f t="shared" si="0"/>
        <v>39321918.720000006</v>
      </c>
      <c r="J38" s="190"/>
    </row>
    <row r="39" spans="2:10" ht="15.75">
      <c r="B39" s="139"/>
      <c r="C39" s="140" t="s">
        <v>379</v>
      </c>
      <c r="D39" s="141" t="s">
        <v>380</v>
      </c>
      <c r="E39" s="136"/>
      <c r="F39" s="137"/>
      <c r="G39" s="143"/>
      <c r="H39" s="188"/>
      <c r="I39" s="189"/>
      <c r="J39" s="190"/>
    </row>
    <row r="40" spans="2:10" ht="18" customHeight="1">
      <c r="B40" s="139"/>
      <c r="C40" s="140"/>
      <c r="D40" s="141" t="s">
        <v>385</v>
      </c>
      <c r="E40" s="141"/>
      <c r="F40" s="137" t="s">
        <v>7</v>
      </c>
      <c r="G40" s="143">
        <f>[7]Rekapprint!$J$208+[7]Rekapprint!$J$215+[7]Rekapprint!$J$222+[7]Rekapprint!$J$229</f>
        <v>8557.7916666666661</v>
      </c>
      <c r="H40" s="188">
        <f>H34</f>
        <v>12364</v>
      </c>
      <c r="I40" s="189">
        <f t="shared" si="0"/>
        <v>105808536.16666666</v>
      </c>
      <c r="J40" s="190"/>
    </row>
    <row r="41" spans="2:10" ht="15" hidden="1" customHeight="1">
      <c r="B41" s="139"/>
      <c r="C41" s="140"/>
      <c r="D41" s="141"/>
      <c r="E41" s="141"/>
      <c r="F41" s="137"/>
      <c r="G41" s="143"/>
      <c r="H41" s="188"/>
      <c r="I41" s="189"/>
      <c r="J41" s="190"/>
    </row>
    <row r="42" spans="2:10" ht="0.75" hidden="1" customHeight="1">
      <c r="B42" s="139"/>
      <c r="C42" s="140"/>
      <c r="D42" s="141"/>
      <c r="E42" s="141"/>
      <c r="F42" s="137"/>
      <c r="G42" s="143"/>
      <c r="H42" s="188"/>
      <c r="I42" s="189"/>
      <c r="J42" s="190"/>
    </row>
    <row r="43" spans="2:10" ht="15.75">
      <c r="B43" s="139"/>
      <c r="C43" s="140"/>
      <c r="D43" s="141" t="s">
        <v>381</v>
      </c>
      <c r="E43" s="141"/>
      <c r="F43" s="137" t="s">
        <v>7</v>
      </c>
      <c r="G43" s="143">
        <f>[7]Rekapprint!$J$209+[7]Rekapprint!$J$216+[7]Rekapprint!$J$223+[7]Rekapprint!$J$230</f>
        <v>1407.6003239999995</v>
      </c>
      <c r="H43" s="188">
        <f>H40</f>
        <v>12364</v>
      </c>
      <c r="I43" s="189">
        <f t="shared" si="0"/>
        <v>17403570.405935995</v>
      </c>
      <c r="J43" s="190"/>
    </row>
    <row r="44" spans="2:10" ht="15.75">
      <c r="B44" s="139"/>
      <c r="C44" s="140"/>
      <c r="D44" s="141"/>
      <c r="E44" s="136"/>
      <c r="F44" s="137"/>
      <c r="G44" s="143"/>
      <c r="H44" s="188"/>
      <c r="I44" s="189"/>
      <c r="J44" s="190"/>
    </row>
    <row r="45" spans="2:10" ht="15.75">
      <c r="B45" s="134"/>
      <c r="C45" s="142" t="s">
        <v>949</v>
      </c>
      <c r="D45" s="135"/>
      <c r="E45" s="136"/>
      <c r="F45" s="137"/>
      <c r="G45" s="138"/>
      <c r="H45" s="188"/>
      <c r="I45" s="189"/>
      <c r="J45" s="190"/>
    </row>
    <row r="46" spans="2:10" ht="15.75">
      <c r="B46" s="139"/>
      <c r="C46" s="140" t="s">
        <v>374</v>
      </c>
      <c r="D46" s="141" t="s">
        <v>584</v>
      </c>
      <c r="E46" s="136"/>
      <c r="F46" s="137" t="s">
        <v>375</v>
      </c>
      <c r="G46" s="143">
        <f>[7]Rekapprint!$J$235+[7]Rekapprint!$J$242+[7]Rekapprint!$J$249+[7]Rekapprint!$J$256</f>
        <v>41.587199999999996</v>
      </c>
      <c r="H46" s="188">
        <f>H37</f>
        <v>1311907</v>
      </c>
      <c r="I46" s="189">
        <f t="shared" si="0"/>
        <v>54558538.790399991</v>
      </c>
      <c r="J46" s="190"/>
    </row>
    <row r="47" spans="2:10" ht="15.75">
      <c r="B47" s="139"/>
      <c r="C47" s="140" t="s">
        <v>376</v>
      </c>
      <c r="D47" s="141" t="s">
        <v>377</v>
      </c>
      <c r="E47" s="136"/>
      <c r="F47" s="137" t="s">
        <v>378</v>
      </c>
      <c r="G47" s="143">
        <f>[7]Rekapprint!$J$239+[7]Rekapprint!$J$246+[7]Rekapprint!$J$253+[7]Rekapprint!$J$260</f>
        <v>218.88</v>
      </c>
      <c r="H47" s="188">
        <f>H38</f>
        <v>162541</v>
      </c>
      <c r="I47" s="189">
        <f t="shared" si="0"/>
        <v>35576974.079999998</v>
      </c>
      <c r="J47" s="190"/>
    </row>
    <row r="48" spans="2:10" ht="15.75">
      <c r="B48" s="139"/>
      <c r="C48" s="140" t="s">
        <v>379</v>
      </c>
      <c r="D48" s="141" t="s">
        <v>380</v>
      </c>
      <c r="E48" s="136"/>
      <c r="F48" s="137"/>
      <c r="G48" s="143"/>
      <c r="H48" s="188"/>
      <c r="I48" s="189"/>
      <c r="J48" s="190"/>
    </row>
    <row r="49" spans="2:10" ht="15.75">
      <c r="B49" s="139"/>
      <c r="C49" s="140"/>
      <c r="D49" s="141" t="s">
        <v>385</v>
      </c>
      <c r="E49" s="141"/>
      <c r="F49" s="137" t="s">
        <v>7</v>
      </c>
      <c r="G49" s="143">
        <f>[7]Rekapprint!$J$237+[7]Rekapprint!$J$244+[7]Rekapprint!$J$251+[7]Rekapprint!$J$258</f>
        <v>8557.7916666666661</v>
      </c>
      <c r="H49" s="188">
        <f>H43</f>
        <v>12364</v>
      </c>
      <c r="I49" s="189">
        <f t="shared" si="0"/>
        <v>105808536.16666666</v>
      </c>
      <c r="J49" s="190"/>
    </row>
    <row r="50" spans="2:10" ht="15.75" hidden="1">
      <c r="B50" s="139"/>
      <c r="C50" s="140"/>
      <c r="D50" s="141"/>
      <c r="E50" s="141"/>
      <c r="F50" s="137"/>
      <c r="G50" s="143"/>
      <c r="H50" s="188"/>
      <c r="I50" s="189"/>
      <c r="J50" s="190"/>
    </row>
    <row r="51" spans="2:10" ht="15.75">
      <c r="B51" s="139"/>
      <c r="C51" s="140"/>
      <c r="D51" s="141" t="s">
        <v>381</v>
      </c>
      <c r="E51" s="141"/>
      <c r="F51" s="137" t="s">
        <v>7</v>
      </c>
      <c r="G51" s="143">
        <f>[7]Rekapprint!$J$238+[7]Rekapprint!$J$245+[7]Rekapprint!$J$252+[7]Rekapprint!$J$259</f>
        <v>2074.7078819999997</v>
      </c>
      <c r="H51" s="188">
        <f>H49</f>
        <v>12364</v>
      </c>
      <c r="I51" s="189">
        <f t="shared" si="0"/>
        <v>25651688.253047995</v>
      </c>
      <c r="J51" s="190"/>
    </row>
    <row r="52" spans="2:10" ht="15.75">
      <c r="B52" s="139"/>
      <c r="C52" s="140"/>
      <c r="D52" s="141"/>
      <c r="E52" s="141"/>
      <c r="F52" s="137"/>
      <c r="G52" s="143"/>
      <c r="H52" s="188"/>
      <c r="I52" s="189"/>
      <c r="J52" s="190"/>
    </row>
    <row r="53" spans="2:10" ht="15.75">
      <c r="B53" s="134"/>
      <c r="C53" s="142" t="s">
        <v>950</v>
      </c>
      <c r="D53" s="135"/>
      <c r="E53" s="136"/>
      <c r="F53" s="137"/>
      <c r="G53" s="138"/>
      <c r="H53" s="188"/>
      <c r="I53" s="189"/>
      <c r="J53" s="190"/>
    </row>
    <row r="54" spans="2:10" ht="15.75">
      <c r="B54" s="139"/>
      <c r="C54" s="140" t="s">
        <v>374</v>
      </c>
      <c r="D54" s="141" t="s">
        <v>584</v>
      </c>
      <c r="E54" s="136"/>
      <c r="F54" s="137" t="s">
        <v>375</v>
      </c>
      <c r="G54" s="143">
        <f>[7]Rekapprint!$J$264+[7]Rekapprint!$J$272+[7]Rekapprint!$J$279+[7]Rekapprint!$J$286</f>
        <v>188.87040000000005</v>
      </c>
      <c r="H54" s="188">
        <f>H46</f>
        <v>1311907</v>
      </c>
      <c r="I54" s="189">
        <f t="shared" ref="I54:I55" si="1">H54*G54</f>
        <v>247780399.85280007</v>
      </c>
      <c r="J54" s="190"/>
    </row>
    <row r="55" spans="2:10" ht="15.75">
      <c r="B55" s="139"/>
      <c r="C55" s="140" t="s">
        <v>376</v>
      </c>
      <c r="D55" s="141" t="s">
        <v>377</v>
      </c>
      <c r="E55" s="136"/>
      <c r="F55" s="137" t="s">
        <v>378</v>
      </c>
      <c r="G55" s="143">
        <f>[7]Rekapprint!$J$269+[7]Rekapprint!$J$276+[7]Rekapprint!$J$283+[7]Rekapprint!$J$290</f>
        <v>1043.712</v>
      </c>
      <c r="H55" s="188">
        <f>H47</f>
        <v>162541</v>
      </c>
      <c r="I55" s="189">
        <f t="shared" si="1"/>
        <v>169645992.192</v>
      </c>
      <c r="J55" s="190"/>
    </row>
    <row r="56" spans="2:10" ht="15.75">
      <c r="B56" s="139"/>
      <c r="C56" s="140" t="s">
        <v>379</v>
      </c>
      <c r="D56" s="141" t="s">
        <v>380</v>
      </c>
      <c r="E56" s="136"/>
      <c r="F56" s="137"/>
      <c r="G56" s="143"/>
      <c r="H56" s="188"/>
      <c r="I56" s="189"/>
      <c r="J56" s="190"/>
    </row>
    <row r="57" spans="2:10" ht="15.75">
      <c r="B57" s="139"/>
      <c r="C57" s="140"/>
      <c r="D57" s="141" t="s">
        <v>385</v>
      </c>
      <c r="E57" s="141"/>
      <c r="F57" s="137" t="s">
        <v>7</v>
      </c>
      <c r="G57" s="143">
        <f>[7]Rekapprint!$J$266+[7]Rekapprint!$J$274+[7]Rekapprint!$J$281+[7]Rekapprint!$J$288</f>
        <v>18518.5</v>
      </c>
      <c r="H57" s="188">
        <f>H51</f>
        <v>12364</v>
      </c>
      <c r="I57" s="189">
        <f t="shared" ref="I57" si="2">H57*G57</f>
        <v>228962734</v>
      </c>
      <c r="J57" s="190"/>
    </row>
    <row r="58" spans="2:10" ht="15.75">
      <c r="B58" s="139"/>
      <c r="C58" s="140"/>
      <c r="D58" s="141" t="s">
        <v>384</v>
      </c>
      <c r="E58" s="141"/>
      <c r="F58" s="137" t="s">
        <v>7</v>
      </c>
      <c r="G58" s="143">
        <f>[7]Rekapprint!$J$267</f>
        <v>3794.7771279999993</v>
      </c>
      <c r="H58" s="188">
        <f>H57</f>
        <v>12364</v>
      </c>
      <c r="I58" s="189">
        <f>H58*G58</f>
        <v>46918624.41059199</v>
      </c>
      <c r="J58" s="190"/>
    </row>
    <row r="59" spans="2:10" ht="15.75">
      <c r="B59" s="139"/>
      <c r="C59" s="140"/>
      <c r="D59" s="141" t="s">
        <v>381</v>
      </c>
      <c r="E59" s="141"/>
      <c r="F59" s="137" t="s">
        <v>7</v>
      </c>
      <c r="G59" s="143">
        <f>[7]Rekapprint!$J$268+[7]Rekapprint!$J$275+[7]Rekapprint!$J$282+[7]Rekapprint!$J$289</f>
        <v>9899.5745159999969</v>
      </c>
      <c r="H59" s="188">
        <f>H57</f>
        <v>12364</v>
      </c>
      <c r="I59" s="189">
        <f t="shared" ref="I59" si="3">H59*G59</f>
        <v>122398339.31582396</v>
      </c>
      <c r="J59" s="190"/>
    </row>
    <row r="60" spans="2:10" ht="15.75" customHeight="1">
      <c r="B60" s="139"/>
      <c r="C60" s="140"/>
      <c r="D60" s="141"/>
      <c r="E60" s="136"/>
      <c r="F60" s="137"/>
      <c r="G60" s="143"/>
      <c r="H60" s="188"/>
      <c r="I60" s="189"/>
      <c r="J60" s="190"/>
    </row>
    <row r="61" spans="2:10" ht="15.75" customHeight="1">
      <c r="B61" s="139"/>
      <c r="C61" s="142" t="s">
        <v>951</v>
      </c>
      <c r="D61" s="135"/>
      <c r="E61" s="136"/>
      <c r="F61" s="137"/>
      <c r="G61" s="138"/>
      <c r="H61" s="188"/>
      <c r="I61" s="189"/>
      <c r="J61" s="190"/>
    </row>
    <row r="62" spans="2:10" ht="15.75" customHeight="1">
      <c r="B62" s="139"/>
      <c r="C62" s="140" t="s">
        <v>374</v>
      </c>
      <c r="D62" s="141" t="s">
        <v>584</v>
      </c>
      <c r="E62" s="136"/>
      <c r="F62" s="137" t="s">
        <v>375</v>
      </c>
      <c r="G62" s="143">
        <f>[7]Rekapprint!$J$293+[7]Rekapprint!$J$301+[7]Rekapprint!$J$308+[7]Rekapprint!$J$315</f>
        <v>104.71679999999999</v>
      </c>
      <c r="H62" s="188">
        <f>H54</f>
        <v>1311907</v>
      </c>
      <c r="I62" s="189">
        <f t="shared" ref="I62:I63" si="4">H62*G62</f>
        <v>137378702.93759999</v>
      </c>
      <c r="J62" s="190"/>
    </row>
    <row r="63" spans="2:10" ht="15.75" customHeight="1">
      <c r="B63" s="139"/>
      <c r="C63" s="140" t="s">
        <v>376</v>
      </c>
      <c r="D63" s="141" t="s">
        <v>377</v>
      </c>
      <c r="E63" s="136"/>
      <c r="F63" s="137" t="s">
        <v>378</v>
      </c>
      <c r="G63" s="143">
        <f>[7]Rekapprint!$J$298+[7]Rekapprint!$J$305+[7]Rekapprint!$J$312+[7]Rekapprint!$J$319</f>
        <v>615.16800000000001</v>
      </c>
      <c r="H63" s="188">
        <f>H55</f>
        <v>162541</v>
      </c>
      <c r="I63" s="189">
        <f t="shared" si="4"/>
        <v>99990021.887999997</v>
      </c>
      <c r="J63" s="190"/>
    </row>
    <row r="64" spans="2:10" ht="15.75" customHeight="1">
      <c r="B64" s="139"/>
      <c r="C64" s="140" t="s">
        <v>379</v>
      </c>
      <c r="D64" s="141" t="s">
        <v>380</v>
      </c>
      <c r="E64" s="136"/>
      <c r="F64" s="137"/>
      <c r="G64" s="143"/>
      <c r="H64" s="188"/>
      <c r="I64" s="189"/>
      <c r="J64" s="190"/>
    </row>
    <row r="65" spans="2:10" ht="15.75" customHeight="1">
      <c r="B65" s="139"/>
      <c r="C65" s="140"/>
      <c r="D65" s="141" t="s">
        <v>385</v>
      </c>
      <c r="E65" s="141"/>
      <c r="F65" s="137" t="s">
        <v>7</v>
      </c>
      <c r="G65" s="143">
        <f>[7]Rekapprint!$J$295+[7]Rekapprint!$J$303+[7]Rekapprint!$J$310+[7]Rekapprint!$J$317</f>
        <v>11784.5</v>
      </c>
      <c r="H65" s="188">
        <f>H59</f>
        <v>12364</v>
      </c>
      <c r="I65" s="189">
        <f t="shared" ref="I65" si="5">H65*G65</f>
        <v>145703558</v>
      </c>
      <c r="J65" s="190"/>
    </row>
    <row r="66" spans="2:10" ht="15.75" customHeight="1">
      <c r="B66" s="139"/>
      <c r="C66" s="140"/>
      <c r="D66" s="141" t="s">
        <v>384</v>
      </c>
      <c r="E66" s="141"/>
      <c r="F66" s="137" t="s">
        <v>7</v>
      </c>
      <c r="G66" s="143">
        <f>[7]Rekapprint!$J$296</f>
        <v>3794.7771279999993</v>
      </c>
      <c r="H66" s="188">
        <f>H65</f>
        <v>12364</v>
      </c>
      <c r="I66" s="189">
        <f>H66*G66</f>
        <v>46918624.41059199</v>
      </c>
      <c r="J66" s="190"/>
    </row>
    <row r="67" spans="2:10" ht="15.75" customHeight="1">
      <c r="B67" s="139"/>
      <c r="C67" s="140"/>
      <c r="D67" s="141" t="s">
        <v>381</v>
      </c>
      <c r="E67" s="141"/>
      <c r="F67" s="137" t="s">
        <v>7</v>
      </c>
      <c r="G67" s="143">
        <f>[7]Rekapprint!$J$297+[7]Rekapprint!$J$304+[7]Rekapprint!$J$311+[7]Rekapprint!$J$318</f>
        <v>5818.9292459999997</v>
      </c>
      <c r="H67" s="188">
        <f>H65</f>
        <v>12364</v>
      </c>
      <c r="I67" s="189">
        <f t="shared" ref="I67" si="6">H67*G67</f>
        <v>71945241.197543994</v>
      </c>
      <c r="J67" s="190"/>
    </row>
    <row r="68" spans="2:10" ht="15.75" customHeight="1">
      <c r="B68" s="139"/>
      <c r="C68" s="140"/>
      <c r="D68" s="141"/>
      <c r="E68" s="136"/>
      <c r="F68" s="137"/>
      <c r="G68" s="143"/>
      <c r="H68" s="188"/>
      <c r="I68" s="189"/>
      <c r="J68" s="190"/>
    </row>
    <row r="69" spans="2:10" ht="15.75" customHeight="1">
      <c r="B69" s="139"/>
      <c r="C69" s="142" t="s">
        <v>952</v>
      </c>
      <c r="D69" s="135"/>
      <c r="E69" s="136"/>
      <c r="F69" s="137"/>
      <c r="G69" s="138"/>
      <c r="H69" s="188"/>
      <c r="I69" s="189"/>
      <c r="J69" s="190"/>
    </row>
    <row r="70" spans="2:10" ht="15.75" customHeight="1">
      <c r="B70" s="139"/>
      <c r="C70" s="140" t="s">
        <v>374</v>
      </c>
      <c r="D70" s="141" t="s">
        <v>584</v>
      </c>
      <c r="E70" s="136"/>
      <c r="F70" s="137" t="s">
        <v>375</v>
      </c>
      <c r="G70" s="143">
        <f>[7]Rekapprint!$J$323+[7]Rekapprint!$J$330+[7]Rekapprint!$J$338+[7]Rekapprint!$J$345</f>
        <v>61.488</v>
      </c>
      <c r="H70" s="188">
        <f>H62</f>
        <v>1311907</v>
      </c>
      <c r="I70" s="189">
        <f t="shared" ref="I70:I71" si="7">H70*G70</f>
        <v>80666537.615999997</v>
      </c>
      <c r="J70" s="190"/>
    </row>
    <row r="71" spans="2:10" ht="15.75" customHeight="1">
      <c r="B71" s="139"/>
      <c r="C71" s="140" t="s">
        <v>376</v>
      </c>
      <c r="D71" s="141" t="s">
        <v>377</v>
      </c>
      <c r="E71" s="136"/>
      <c r="F71" s="137" t="s">
        <v>378</v>
      </c>
      <c r="G71" s="143">
        <f>[7]Rekapprint!$J$327+[7]Rekapprint!$J$335+[7]Rekapprint!$J$342+[7]Rekapprint!$J$349</f>
        <v>711.93599999999992</v>
      </c>
      <c r="H71" s="188">
        <f>H63</f>
        <v>162541</v>
      </c>
      <c r="I71" s="189">
        <f t="shared" si="7"/>
        <v>115718789.37599999</v>
      </c>
      <c r="J71" s="190"/>
    </row>
    <row r="72" spans="2:10" ht="15.75" customHeight="1">
      <c r="B72" s="139"/>
      <c r="C72" s="140" t="s">
        <v>379</v>
      </c>
      <c r="D72" s="141" t="s">
        <v>380</v>
      </c>
      <c r="E72" s="136"/>
      <c r="F72" s="137"/>
      <c r="G72" s="143"/>
      <c r="H72" s="188"/>
      <c r="I72" s="189"/>
      <c r="J72" s="190"/>
    </row>
    <row r="73" spans="2:10" ht="15.75" customHeight="1">
      <c r="B73" s="139"/>
      <c r="C73" s="140"/>
      <c r="D73" s="141" t="s">
        <v>385</v>
      </c>
      <c r="E73" s="141"/>
      <c r="F73" s="137" t="s">
        <v>7</v>
      </c>
      <c r="G73" s="143">
        <f>[7]Rekapprint!$J$325+[7]Rekapprint!$J$332+[7]Rekapprint!$J$340+[7]Rekapprint!$J$347</f>
        <v>7804.4536213333331</v>
      </c>
      <c r="H73" s="188">
        <f>H67</f>
        <v>12364</v>
      </c>
      <c r="I73" s="189">
        <f t="shared" ref="I73" si="8">H73*G73</f>
        <v>96494264.574165329</v>
      </c>
      <c r="J73" s="190"/>
    </row>
    <row r="74" spans="2:10" ht="15.75" customHeight="1">
      <c r="B74" s="139"/>
      <c r="C74" s="140"/>
      <c r="D74" s="141" t="s">
        <v>384</v>
      </c>
      <c r="E74" s="141"/>
      <c r="F74" s="137" t="s">
        <v>7</v>
      </c>
      <c r="G74" s="143">
        <f>[7]Rekapprint!$J$333</f>
        <v>401.08799999999997</v>
      </c>
      <c r="H74" s="188">
        <f>H73</f>
        <v>12364</v>
      </c>
      <c r="I74" s="189">
        <f>H74*G74</f>
        <v>4959052.0319999997</v>
      </c>
      <c r="J74" s="190"/>
    </row>
    <row r="75" spans="2:10" ht="15.75" customHeight="1">
      <c r="B75" s="139"/>
      <c r="C75" s="140"/>
      <c r="D75" s="141" t="s">
        <v>381</v>
      </c>
      <c r="E75" s="141"/>
      <c r="F75" s="137" t="s">
        <v>7</v>
      </c>
      <c r="G75" s="143">
        <f>[7]Rekapprint!$J$326+[7]Rekapprint!$J$334+[7]Rekapprint!$J$341+[7]Rekapprint!$J$348</f>
        <v>2735.2619999999993</v>
      </c>
      <c r="H75" s="188">
        <f>H73</f>
        <v>12364</v>
      </c>
      <c r="I75" s="189">
        <f t="shared" ref="I75" si="9">H75*G75</f>
        <v>33818779.367999993</v>
      </c>
      <c r="J75" s="190"/>
    </row>
    <row r="76" spans="2:10" ht="15.75" customHeight="1">
      <c r="B76" s="139"/>
      <c r="C76" s="140"/>
      <c r="D76" s="141"/>
      <c r="E76" s="136"/>
      <c r="F76" s="137"/>
      <c r="G76" s="143"/>
      <c r="H76" s="188"/>
      <c r="I76" s="189"/>
      <c r="J76" s="190"/>
    </row>
    <row r="77" spans="2:10" ht="15.75" customHeight="1">
      <c r="B77" s="139"/>
      <c r="C77" s="142" t="s">
        <v>953</v>
      </c>
      <c r="D77" s="135"/>
      <c r="E77" s="136"/>
      <c r="F77" s="137"/>
      <c r="G77" s="138"/>
      <c r="H77" s="188"/>
      <c r="I77" s="189"/>
      <c r="J77" s="190"/>
    </row>
    <row r="78" spans="2:10" ht="15.75" customHeight="1">
      <c r="B78" s="139"/>
      <c r="C78" s="140" t="s">
        <v>374</v>
      </c>
      <c r="D78" s="141" t="s">
        <v>584</v>
      </c>
      <c r="E78" s="136"/>
      <c r="F78" s="137" t="s">
        <v>375</v>
      </c>
      <c r="G78" s="143">
        <f>[7]Rekapprint!$J$353+[7]Rekapprint!$J$360+[7]Rekapprint!$J$367+[7]Rekapprint!$J$374</f>
        <v>41.3568</v>
      </c>
      <c r="H78" s="188">
        <f>H70</f>
        <v>1311907</v>
      </c>
      <c r="I78" s="189">
        <f t="shared" ref="I78:I79" si="10">H78*G78</f>
        <v>54256275.417599998</v>
      </c>
      <c r="J78" s="190"/>
    </row>
    <row r="79" spans="2:10" ht="15.75" customHeight="1">
      <c r="B79" s="139"/>
      <c r="C79" s="140" t="s">
        <v>376</v>
      </c>
      <c r="D79" s="141" t="s">
        <v>377</v>
      </c>
      <c r="E79" s="136"/>
      <c r="F79" s="137" t="s">
        <v>378</v>
      </c>
      <c r="G79" s="143">
        <f>[7]Rekapprint!$J$357+[7]Rekapprint!$J$364+[7]Rekapprint!$J$371+[7]Rekapprint!$J$378</f>
        <v>470.01599999999996</v>
      </c>
      <c r="H79" s="188">
        <f>H71</f>
        <v>162541</v>
      </c>
      <c r="I79" s="189">
        <f t="shared" si="10"/>
        <v>76396870.655999988</v>
      </c>
      <c r="J79" s="190"/>
    </row>
    <row r="80" spans="2:10" ht="15.75" customHeight="1">
      <c r="B80" s="139"/>
      <c r="C80" s="140" t="s">
        <v>379</v>
      </c>
      <c r="D80" s="141" t="s">
        <v>380</v>
      </c>
      <c r="E80" s="136"/>
      <c r="F80" s="137"/>
      <c r="G80" s="143"/>
      <c r="H80" s="188"/>
      <c r="I80" s="189"/>
      <c r="J80" s="190"/>
    </row>
    <row r="81" spans="2:10" ht="15.75" customHeight="1">
      <c r="B81" s="139"/>
      <c r="C81" s="140"/>
      <c r="D81" s="141" t="s">
        <v>385</v>
      </c>
      <c r="E81" s="141"/>
      <c r="F81" s="137" t="s">
        <v>7</v>
      </c>
      <c r="G81" s="143">
        <f>[7]Rekapprint!$J$355+[7]Rekapprint!$J$362+[7]Rekapprint!$J$369+[7]Rekapprint!$J$376</f>
        <v>5725.0617813333329</v>
      </c>
      <c r="H81" s="188">
        <f>H75</f>
        <v>12364</v>
      </c>
      <c r="I81" s="189">
        <f t="shared" ref="I81" si="11">H81*G81</f>
        <v>70784663.864405334</v>
      </c>
      <c r="J81" s="190"/>
    </row>
    <row r="82" spans="2:10" ht="15.75" hidden="1" customHeight="1">
      <c r="B82" s="139"/>
      <c r="C82" s="140"/>
      <c r="D82" s="141"/>
      <c r="E82" s="141"/>
      <c r="F82" s="137"/>
      <c r="G82" s="143"/>
      <c r="H82" s="188"/>
      <c r="I82" s="189"/>
      <c r="J82" s="190"/>
    </row>
    <row r="83" spans="2:10" ht="15.75" customHeight="1">
      <c r="B83" s="139"/>
      <c r="C83" s="140"/>
      <c r="D83" s="141" t="s">
        <v>381</v>
      </c>
      <c r="E83" s="141"/>
      <c r="F83" s="137" t="s">
        <v>7</v>
      </c>
      <c r="G83" s="143">
        <f>[7]Rekapprint!$J$356+[7]Rekapprint!$J$363+[7]Rekapprint!$J$370+[7]Rekapprint!$J$377</f>
        <v>1796.8679999999995</v>
      </c>
      <c r="H83" s="188">
        <f>H81</f>
        <v>12364</v>
      </c>
      <c r="I83" s="189">
        <f t="shared" ref="I83" si="12">H83*G83</f>
        <v>22216475.951999992</v>
      </c>
      <c r="J83" s="190"/>
    </row>
    <row r="84" spans="2:10" ht="15.75" customHeight="1" thickBot="1">
      <c r="B84" s="649"/>
      <c r="C84" s="650"/>
      <c r="D84" s="651"/>
      <c r="E84" s="652"/>
      <c r="F84" s="653"/>
      <c r="G84" s="654"/>
      <c r="H84" s="655"/>
      <c r="I84" s="656"/>
      <c r="J84" s="657">
        <f>SUM(I11:I83)</f>
        <v>5764048324.7472649</v>
      </c>
    </row>
    <row r="85" spans="2:10" ht="16.5" thickBot="1">
      <c r="B85" s="640">
        <v>2</v>
      </c>
      <c r="C85" s="641" t="s">
        <v>391</v>
      </c>
      <c r="D85" s="642"/>
      <c r="E85" s="643"/>
      <c r="F85" s="644"/>
      <c r="G85" s="645"/>
      <c r="H85" s="646"/>
      <c r="I85" s="647"/>
      <c r="J85" s="648"/>
    </row>
    <row r="86" spans="2:10" ht="16.5" thickTop="1">
      <c r="B86" s="158"/>
      <c r="C86" s="159" t="s">
        <v>947</v>
      </c>
      <c r="D86" s="160"/>
      <c r="E86" s="161"/>
      <c r="F86" s="162"/>
      <c r="G86" s="165"/>
      <c r="H86" s="182"/>
      <c r="I86" s="192"/>
      <c r="J86" s="184"/>
    </row>
    <row r="87" spans="2:10" ht="15.75">
      <c r="B87" s="139"/>
      <c r="C87" s="140" t="s">
        <v>374</v>
      </c>
      <c r="D87" s="141" t="s">
        <v>584</v>
      </c>
      <c r="E87" s="136"/>
      <c r="F87" s="137" t="s">
        <v>375</v>
      </c>
      <c r="G87" s="143">
        <f>[7]Rekapprint!$J$426</f>
        <v>601.99439999999981</v>
      </c>
      <c r="H87" s="188">
        <f>H78</f>
        <v>1311907</v>
      </c>
      <c r="I87" s="189">
        <f>H87*G87</f>
        <v>789760667.32079971</v>
      </c>
      <c r="J87" s="190"/>
    </row>
    <row r="88" spans="2:10" ht="15.75">
      <c r="B88" s="139"/>
      <c r="C88" s="140" t="s">
        <v>376</v>
      </c>
      <c r="D88" s="141" t="s">
        <v>377</v>
      </c>
      <c r="E88" s="136"/>
      <c r="F88" s="137" t="s">
        <v>378</v>
      </c>
      <c r="G88" s="143">
        <f>[7]Rekapprint!$J$432</f>
        <v>4405.1040000000003</v>
      </c>
      <c r="H88" s="188">
        <f>'Analisa Print'!I253</f>
        <v>161881</v>
      </c>
      <c r="I88" s="189">
        <f t="shared" ref="I88:I121" si="13">H88*G88</f>
        <v>713102640.62400007</v>
      </c>
      <c r="J88" s="190"/>
    </row>
    <row r="89" spans="2:10" ht="15.75">
      <c r="B89" s="139"/>
      <c r="C89" s="140" t="s">
        <v>379</v>
      </c>
      <c r="D89" s="141" t="s">
        <v>380</v>
      </c>
      <c r="E89" s="136"/>
      <c r="F89" s="137"/>
      <c r="G89" s="143"/>
      <c r="H89" s="188"/>
      <c r="I89" s="189"/>
      <c r="J89" s="190"/>
    </row>
    <row r="90" spans="2:10" ht="15" customHeight="1">
      <c r="B90" s="139"/>
      <c r="C90" s="140"/>
      <c r="D90" s="141" t="s">
        <v>385</v>
      </c>
      <c r="E90" s="136"/>
      <c r="F90" s="137" t="s">
        <v>7</v>
      </c>
      <c r="G90" s="143">
        <f>[7]Rekapprint!$J$428</f>
        <v>4206.4375</v>
      </c>
      <c r="H90" s="188">
        <f>H81</f>
        <v>12364</v>
      </c>
      <c r="I90" s="189">
        <f t="shared" si="13"/>
        <v>52008393.25</v>
      </c>
      <c r="J90" s="190"/>
    </row>
    <row r="91" spans="2:10" ht="1.5" hidden="1" customHeight="1">
      <c r="B91" s="139"/>
      <c r="C91" s="140"/>
      <c r="D91" s="141"/>
      <c r="E91" s="136"/>
      <c r="F91" s="137"/>
      <c r="G91" s="143"/>
      <c r="H91" s="188"/>
      <c r="I91" s="189"/>
      <c r="J91" s="190"/>
    </row>
    <row r="92" spans="2:10" ht="15.75">
      <c r="B92" s="139"/>
      <c r="C92" s="140"/>
      <c r="D92" s="141" t="s">
        <v>384</v>
      </c>
      <c r="E92" s="136"/>
      <c r="F92" s="137" t="s">
        <v>7</v>
      </c>
      <c r="G92" s="143">
        <f>[7]Rekapprint!$J$429</f>
        <v>97787.288406666659</v>
      </c>
      <c r="H92" s="188">
        <f>H90</f>
        <v>12364</v>
      </c>
      <c r="I92" s="189">
        <f t="shared" si="13"/>
        <v>1209042033.8600266</v>
      </c>
      <c r="J92" s="190"/>
    </row>
    <row r="93" spans="2:10" ht="15.75">
      <c r="B93" s="139"/>
      <c r="C93" s="140"/>
      <c r="D93" s="141" t="s">
        <v>383</v>
      </c>
      <c r="E93" s="136"/>
      <c r="F93" s="137" t="s">
        <v>7</v>
      </c>
      <c r="G93" s="143">
        <f>[7]Rekapprint!$J$430</f>
        <v>15538.268547999998</v>
      </c>
      <c r="H93" s="188">
        <f>H92</f>
        <v>12364</v>
      </c>
      <c r="I93" s="189">
        <f t="shared" si="13"/>
        <v>192115152.32747197</v>
      </c>
      <c r="J93" s="190"/>
    </row>
    <row r="94" spans="2:10" ht="15.75">
      <c r="B94" s="139"/>
      <c r="C94" s="140"/>
      <c r="D94" s="141" t="s">
        <v>395</v>
      </c>
      <c r="E94" s="136"/>
      <c r="F94" s="137" t="s">
        <v>7</v>
      </c>
      <c r="G94" s="143">
        <f>[7]Rekapprint!$J$431</f>
        <v>23975.728469333339</v>
      </c>
      <c r="H94" s="188">
        <f>H93</f>
        <v>12364</v>
      </c>
      <c r="I94" s="189">
        <f t="shared" si="13"/>
        <v>296435906.79483742</v>
      </c>
      <c r="J94" s="190"/>
    </row>
    <row r="95" spans="2:10" ht="15.75">
      <c r="B95" s="139"/>
      <c r="C95" s="140"/>
      <c r="D95" s="141"/>
      <c r="E95" s="136"/>
      <c r="F95" s="137"/>
      <c r="G95" s="143"/>
      <c r="H95" s="188"/>
      <c r="I95" s="189"/>
      <c r="J95" s="190"/>
    </row>
    <row r="96" spans="2:10" ht="15.75">
      <c r="B96" s="139"/>
      <c r="C96" s="140"/>
      <c r="D96" s="141"/>
      <c r="E96" s="136"/>
      <c r="F96" s="137"/>
      <c r="G96" s="143"/>
      <c r="H96" s="188"/>
      <c r="I96" s="189"/>
      <c r="J96" s="190"/>
    </row>
    <row r="97" spans="2:10" ht="15.75">
      <c r="B97" s="158"/>
      <c r="C97" s="159" t="s">
        <v>386</v>
      </c>
      <c r="D97" s="160"/>
      <c r="E97" s="161"/>
      <c r="F97" s="162"/>
      <c r="G97" s="165"/>
      <c r="H97" s="182"/>
      <c r="I97" s="192"/>
      <c r="J97" s="190"/>
    </row>
    <row r="98" spans="2:10" ht="15.75">
      <c r="B98" s="139"/>
      <c r="C98" s="140" t="s">
        <v>374</v>
      </c>
      <c r="D98" s="141" t="s">
        <v>584</v>
      </c>
      <c r="E98" s="136"/>
      <c r="F98" s="137" t="s">
        <v>375</v>
      </c>
      <c r="G98" s="143">
        <f>[7]Rekapprint!$J$436</f>
        <v>153.6148</v>
      </c>
      <c r="H98" s="188">
        <f>H87</f>
        <v>1311907</v>
      </c>
      <c r="I98" s="189">
        <f>H98*G98</f>
        <v>201528331.42360002</v>
      </c>
      <c r="J98" s="190"/>
    </row>
    <row r="99" spans="2:10" ht="15.75">
      <c r="B99" s="139"/>
      <c r="C99" s="140" t="s">
        <v>376</v>
      </c>
      <c r="D99" s="141" t="s">
        <v>377</v>
      </c>
      <c r="E99" s="136"/>
      <c r="F99" s="137" t="s">
        <v>378</v>
      </c>
      <c r="G99" s="143">
        <f>[7]Rekapprint!$J$442</f>
        <v>1099.4800000000002</v>
      </c>
      <c r="H99" s="188">
        <f>H88</f>
        <v>161881</v>
      </c>
      <c r="I99" s="189">
        <f t="shared" ref="I99" si="14">H99*G99</f>
        <v>177984921.88000003</v>
      </c>
      <c r="J99" s="190"/>
    </row>
    <row r="100" spans="2:10" ht="15.75">
      <c r="B100" s="139"/>
      <c r="C100" s="140" t="s">
        <v>379</v>
      </c>
      <c r="D100" s="141" t="s">
        <v>380</v>
      </c>
      <c r="E100" s="136"/>
      <c r="F100" s="137"/>
      <c r="G100" s="143"/>
      <c r="H100" s="188"/>
      <c r="I100" s="189"/>
      <c r="J100" s="190"/>
    </row>
    <row r="101" spans="2:10" ht="15" customHeight="1">
      <c r="B101" s="139"/>
      <c r="C101" s="140"/>
      <c r="D101" s="141" t="s">
        <v>385</v>
      </c>
      <c r="E101" s="136"/>
      <c r="F101" s="137" t="s">
        <v>7</v>
      </c>
      <c r="G101" s="143">
        <f>[7]Rekapprint!$J$438</f>
        <v>963.33478733333322</v>
      </c>
      <c r="H101" s="188">
        <f>H92</f>
        <v>12364</v>
      </c>
      <c r="I101" s="189">
        <f t="shared" ref="I101" si="15">H101*G101</f>
        <v>11910671.310589332</v>
      </c>
      <c r="J101" s="190"/>
    </row>
    <row r="102" spans="2:10" ht="15.75" hidden="1">
      <c r="B102" s="139"/>
      <c r="C102" s="140"/>
      <c r="D102" s="141"/>
      <c r="E102" s="136"/>
      <c r="F102" s="137"/>
      <c r="G102" s="143"/>
      <c r="H102" s="188"/>
      <c r="I102" s="189"/>
      <c r="J102" s="190"/>
    </row>
    <row r="103" spans="2:10" ht="15.75">
      <c r="B103" s="139"/>
      <c r="C103" s="140"/>
      <c r="D103" s="141" t="s">
        <v>384</v>
      </c>
      <c r="E103" s="136"/>
      <c r="F103" s="137" t="s">
        <v>7</v>
      </c>
      <c r="G103" s="143">
        <f>[7]Rekapprint!$J$439</f>
        <v>10477.293379333332</v>
      </c>
      <c r="H103" s="188">
        <f>H101</f>
        <v>12364</v>
      </c>
      <c r="I103" s="189">
        <f t="shared" ref="I103:I105" si="16">H103*G103</f>
        <v>129541255.34207731</v>
      </c>
      <c r="J103" s="190"/>
    </row>
    <row r="104" spans="2:10" ht="15.75">
      <c r="B104" s="139"/>
      <c r="C104" s="140"/>
      <c r="D104" s="141" t="s">
        <v>383</v>
      </c>
      <c r="E104" s="136"/>
      <c r="F104" s="137" t="s">
        <v>7</v>
      </c>
      <c r="G104" s="143">
        <f>[7]Rekapprint!$J$440</f>
        <v>21696.360341333333</v>
      </c>
      <c r="H104" s="188">
        <f>H103</f>
        <v>12364</v>
      </c>
      <c r="I104" s="189">
        <f t="shared" si="16"/>
        <v>268253799.26024532</v>
      </c>
      <c r="J104" s="190"/>
    </row>
    <row r="105" spans="2:10" ht="15.75">
      <c r="B105" s="139"/>
      <c r="C105" s="140"/>
      <c r="D105" s="141" t="s">
        <v>395</v>
      </c>
      <c r="E105" s="136"/>
      <c r="F105" s="137" t="s">
        <v>7</v>
      </c>
      <c r="G105" s="143">
        <f>[7]Rekapprint!$J$441</f>
        <v>6021.9305599999998</v>
      </c>
      <c r="H105" s="188">
        <f>H104</f>
        <v>12364</v>
      </c>
      <c r="I105" s="189">
        <f t="shared" si="16"/>
        <v>74455149.443839997</v>
      </c>
      <c r="J105" s="190"/>
    </row>
    <row r="106" spans="2:10" ht="15.75">
      <c r="B106" s="139"/>
      <c r="C106" s="140"/>
      <c r="D106" s="141"/>
      <c r="E106" s="136"/>
      <c r="F106" s="137"/>
      <c r="G106" s="143"/>
      <c r="H106" s="188"/>
      <c r="I106" s="189"/>
      <c r="J106" s="190"/>
    </row>
    <row r="107" spans="2:10" ht="15.75">
      <c r="B107" s="139"/>
      <c r="C107" s="140"/>
      <c r="D107" s="141"/>
      <c r="E107" s="136"/>
      <c r="F107" s="137"/>
      <c r="G107" s="143"/>
      <c r="H107" s="188"/>
      <c r="I107" s="189"/>
      <c r="J107" s="190"/>
    </row>
    <row r="108" spans="2:10" ht="15.75">
      <c r="B108" s="134"/>
      <c r="C108" s="142" t="s">
        <v>393</v>
      </c>
      <c r="D108" s="135"/>
      <c r="E108" s="136"/>
      <c r="F108" s="137"/>
      <c r="G108" s="143"/>
      <c r="H108" s="188"/>
      <c r="I108" s="189"/>
      <c r="J108" s="190"/>
    </row>
    <row r="109" spans="2:10" ht="15.75">
      <c r="B109" s="139"/>
      <c r="C109" s="140" t="s">
        <v>374</v>
      </c>
      <c r="D109" s="141" t="s">
        <v>584</v>
      </c>
      <c r="E109" s="136"/>
      <c r="F109" s="137" t="s">
        <v>375</v>
      </c>
      <c r="G109" s="143">
        <f>[7]Rekapprint!$J$446</f>
        <v>271.70959999999997</v>
      </c>
      <c r="H109" s="188">
        <f>H98</f>
        <v>1311907</v>
      </c>
      <c r="I109" s="189">
        <f t="shared" si="13"/>
        <v>356457726.20719993</v>
      </c>
      <c r="J109" s="190"/>
    </row>
    <row r="110" spans="2:10" ht="15.75">
      <c r="B110" s="139"/>
      <c r="C110" s="140" t="s">
        <v>376</v>
      </c>
      <c r="D110" s="141" t="s">
        <v>377</v>
      </c>
      <c r="E110" s="136"/>
      <c r="F110" s="137" t="s">
        <v>378</v>
      </c>
      <c r="G110" s="143">
        <f>[7]Rekapprint!$J$452</f>
        <v>1931.5039999999999</v>
      </c>
      <c r="H110" s="188">
        <f>H99</f>
        <v>161881</v>
      </c>
      <c r="I110" s="189">
        <f t="shared" si="13"/>
        <v>312673799.02399999</v>
      </c>
      <c r="J110" s="190"/>
    </row>
    <row r="111" spans="2:10" ht="15.75">
      <c r="B111" s="139"/>
      <c r="C111" s="140" t="s">
        <v>379</v>
      </c>
      <c r="D111" s="141" t="s">
        <v>380</v>
      </c>
      <c r="E111" s="136"/>
      <c r="F111" s="137"/>
      <c r="G111" s="143"/>
      <c r="H111" s="188"/>
      <c r="I111" s="189"/>
      <c r="J111" s="190"/>
    </row>
    <row r="112" spans="2:10" ht="15" customHeight="1">
      <c r="B112" s="139"/>
      <c r="C112" s="140"/>
      <c r="D112" s="141" t="s">
        <v>385</v>
      </c>
      <c r="E112" s="136"/>
      <c r="F112" s="137" t="s">
        <v>7</v>
      </c>
      <c r="G112" s="143">
        <f>[7]Rekapprint!$J$448</f>
        <v>1992.6</v>
      </c>
      <c r="H112" s="188">
        <f>H103</f>
        <v>12364</v>
      </c>
      <c r="I112" s="189">
        <f t="shared" ref="I112" si="17">H112*G112</f>
        <v>24636506.399999999</v>
      </c>
      <c r="J112" s="190"/>
    </row>
    <row r="113" spans="2:10" ht="15.75" hidden="1">
      <c r="B113" s="139"/>
      <c r="C113" s="140"/>
      <c r="D113" s="141"/>
      <c r="E113" s="136"/>
      <c r="F113" s="137"/>
      <c r="G113" s="143"/>
      <c r="H113" s="188"/>
      <c r="I113" s="189"/>
      <c r="J113" s="190"/>
    </row>
    <row r="114" spans="2:10" ht="15.75">
      <c r="B114" s="139"/>
      <c r="C114" s="140"/>
      <c r="D114" s="141" t="s">
        <v>384</v>
      </c>
      <c r="E114" s="136"/>
      <c r="F114" s="137" t="s">
        <v>7</v>
      </c>
      <c r="G114" s="143">
        <f>[7]Rekapprint!$J$449</f>
        <v>30716.641749333328</v>
      </c>
      <c r="H114" s="188">
        <f>H112</f>
        <v>12364</v>
      </c>
      <c r="I114" s="189">
        <f t="shared" ref="I114:I116" si="18">H114*G114</f>
        <v>379780558.58875728</v>
      </c>
      <c r="J114" s="190"/>
    </row>
    <row r="115" spans="2:10" ht="15.75">
      <c r="B115" s="139"/>
      <c r="C115" s="140"/>
      <c r="D115" s="141" t="s">
        <v>383</v>
      </c>
      <c r="E115" s="136"/>
      <c r="F115" s="137" t="s">
        <v>7</v>
      </c>
      <c r="G115" s="143">
        <f>[7]Rekapprint!$J$450</f>
        <v>9731.5182986666659</v>
      </c>
      <c r="H115" s="188">
        <f>H114</f>
        <v>12364</v>
      </c>
      <c r="I115" s="189">
        <f t="shared" si="18"/>
        <v>120320492.24471466</v>
      </c>
      <c r="J115" s="190"/>
    </row>
    <row r="116" spans="2:10" ht="15.75">
      <c r="B116" s="139"/>
      <c r="C116" s="140"/>
      <c r="D116" s="141" t="s">
        <v>395</v>
      </c>
      <c r="E116" s="136"/>
      <c r="F116" s="137" t="s">
        <v>7</v>
      </c>
      <c r="G116" s="143">
        <f>[7]Rekapprint!$J$451</f>
        <v>10582.254954666663</v>
      </c>
      <c r="H116" s="188">
        <f>H115</f>
        <v>12364</v>
      </c>
      <c r="I116" s="189">
        <f t="shared" si="18"/>
        <v>130839000.25949863</v>
      </c>
      <c r="J116" s="190"/>
    </row>
    <row r="117" spans="2:10" ht="15.75">
      <c r="B117" s="139"/>
      <c r="C117" s="140"/>
      <c r="D117" s="141"/>
      <c r="E117" s="136"/>
      <c r="F117" s="137"/>
      <c r="G117" s="143"/>
      <c r="H117" s="188"/>
      <c r="I117" s="189"/>
      <c r="J117" s="190"/>
    </row>
    <row r="118" spans="2:10" ht="15.75">
      <c r="B118" s="139"/>
      <c r="C118" s="140"/>
      <c r="D118" s="141"/>
      <c r="E118" s="136"/>
      <c r="F118" s="137"/>
      <c r="G118" s="143"/>
      <c r="H118" s="188"/>
      <c r="I118" s="189"/>
      <c r="J118" s="190"/>
    </row>
    <row r="119" spans="2:10" ht="15.75">
      <c r="B119" s="134"/>
      <c r="C119" s="142" t="s">
        <v>954</v>
      </c>
      <c r="D119" s="135"/>
      <c r="E119" s="136"/>
      <c r="F119" s="137"/>
      <c r="G119" s="143"/>
      <c r="H119" s="188"/>
      <c r="I119" s="189"/>
      <c r="J119" s="190"/>
    </row>
    <row r="120" spans="2:10" ht="15.75">
      <c r="B120" s="139"/>
      <c r="C120" s="140" t="s">
        <v>374</v>
      </c>
      <c r="D120" s="141" t="s">
        <v>584</v>
      </c>
      <c r="E120" s="136"/>
      <c r="F120" s="137" t="s">
        <v>375</v>
      </c>
      <c r="G120" s="143">
        <f>[7]Rekapprint!$J$456</f>
        <v>201.97799999999998</v>
      </c>
      <c r="H120" s="188">
        <f>H109</f>
        <v>1311907</v>
      </c>
      <c r="I120" s="189">
        <f t="shared" si="13"/>
        <v>264976352.04599997</v>
      </c>
      <c r="J120" s="190"/>
    </row>
    <row r="121" spans="2:10" ht="15.75">
      <c r="B121" s="139"/>
      <c r="C121" s="140" t="s">
        <v>376</v>
      </c>
      <c r="D121" s="141" t="s">
        <v>377</v>
      </c>
      <c r="E121" s="136"/>
      <c r="F121" s="137" t="s">
        <v>378</v>
      </c>
      <c r="G121" s="143">
        <f>[7]Rekapprint!$J$461</f>
        <v>1514.3280000000004</v>
      </c>
      <c r="H121" s="188">
        <f>H110</f>
        <v>161881</v>
      </c>
      <c r="I121" s="189">
        <f t="shared" si="13"/>
        <v>245140930.96800008</v>
      </c>
      <c r="J121" s="190"/>
    </row>
    <row r="122" spans="2:10" ht="15.75">
      <c r="B122" s="139"/>
      <c r="C122" s="140" t="s">
        <v>379</v>
      </c>
      <c r="D122" s="141" t="s">
        <v>380</v>
      </c>
      <c r="E122" s="136"/>
      <c r="F122" s="137"/>
      <c r="G122" s="143"/>
      <c r="H122" s="188"/>
      <c r="I122" s="189"/>
      <c r="J122" s="190"/>
    </row>
    <row r="123" spans="2:10" ht="15.75">
      <c r="B123" s="139"/>
      <c r="C123" s="140"/>
      <c r="D123" s="141" t="s">
        <v>385</v>
      </c>
      <c r="E123" s="136"/>
      <c r="F123" s="137" t="s">
        <v>7</v>
      </c>
      <c r="G123" s="143">
        <f>[7]Rekapprint!$J$458</f>
        <v>3698.84375</v>
      </c>
      <c r="H123" s="188">
        <f>H114</f>
        <v>12364</v>
      </c>
      <c r="I123" s="189">
        <f t="shared" ref="I123" si="19">H123*G123</f>
        <v>45732504.125</v>
      </c>
      <c r="J123" s="190"/>
    </row>
    <row r="124" spans="2:10" ht="15.75" hidden="1">
      <c r="B124" s="139"/>
      <c r="C124" s="140"/>
      <c r="D124" s="141"/>
      <c r="E124" s="136"/>
      <c r="F124" s="137"/>
      <c r="G124" s="143"/>
      <c r="H124" s="188"/>
      <c r="I124" s="189"/>
      <c r="J124" s="190"/>
    </row>
    <row r="125" spans="2:10" ht="15.75" hidden="1">
      <c r="B125" s="139"/>
      <c r="C125" s="140"/>
      <c r="D125" s="141"/>
      <c r="E125" s="136"/>
      <c r="F125" s="137"/>
      <c r="G125" s="143"/>
      <c r="H125" s="188"/>
      <c r="I125" s="189"/>
      <c r="J125" s="190"/>
    </row>
    <row r="126" spans="2:10" ht="15.75">
      <c r="B126" s="139"/>
      <c r="C126" s="140"/>
      <c r="D126" s="141" t="s">
        <v>383</v>
      </c>
      <c r="E126" s="136"/>
      <c r="F126" s="137" t="s">
        <v>7</v>
      </c>
      <c r="G126" s="143">
        <f>[7]Rekapprint!$J$459</f>
        <v>20354.309760000004</v>
      </c>
      <c r="H126" s="188">
        <f>H123</f>
        <v>12364</v>
      </c>
      <c r="I126" s="189">
        <f t="shared" ref="I126:I127" si="20">H126*G126</f>
        <v>251660685.87264004</v>
      </c>
      <c r="J126" s="190"/>
    </row>
    <row r="127" spans="2:10" ht="15.75">
      <c r="B127" s="139"/>
      <c r="C127" s="140"/>
      <c r="D127" s="141" t="s">
        <v>395</v>
      </c>
      <c r="E127" s="136"/>
      <c r="F127" s="137" t="s">
        <v>7</v>
      </c>
      <c r="G127" s="143">
        <f>[7]Rekapprint!$J$460</f>
        <v>7387.1476799999982</v>
      </c>
      <c r="H127" s="188">
        <f>H126</f>
        <v>12364</v>
      </c>
      <c r="I127" s="189">
        <f t="shared" si="20"/>
        <v>91334693.915519983</v>
      </c>
      <c r="J127" s="190"/>
    </row>
    <row r="128" spans="2:10" ht="15.75">
      <c r="B128" s="139"/>
      <c r="C128" s="140"/>
      <c r="D128" s="141"/>
      <c r="E128" s="136"/>
      <c r="F128" s="137"/>
      <c r="G128" s="143"/>
      <c r="H128" s="188"/>
      <c r="I128" s="189"/>
      <c r="J128" s="190"/>
    </row>
    <row r="129" spans="2:10" ht="15.75">
      <c r="B129" s="139"/>
      <c r="C129" s="140"/>
      <c r="D129" s="141"/>
      <c r="E129" s="136"/>
      <c r="F129" s="137"/>
      <c r="G129" s="143"/>
      <c r="H129" s="188"/>
      <c r="I129" s="189"/>
      <c r="J129" s="190"/>
    </row>
    <row r="130" spans="2:10" ht="15.75">
      <c r="B130" s="134"/>
      <c r="C130" s="142" t="s">
        <v>971</v>
      </c>
      <c r="D130" s="135"/>
      <c r="E130" s="136"/>
      <c r="F130" s="137"/>
      <c r="G130" s="143"/>
      <c r="H130" s="188"/>
      <c r="I130" s="189"/>
      <c r="J130" s="190"/>
    </row>
    <row r="131" spans="2:10" ht="15.75">
      <c r="B131" s="139"/>
      <c r="C131" s="140" t="s">
        <v>374</v>
      </c>
      <c r="D131" s="141" t="s">
        <v>584</v>
      </c>
      <c r="E131" s="136"/>
      <c r="F131" s="137" t="s">
        <v>375</v>
      </c>
      <c r="G131" s="143">
        <f>[7]Rekapprint!$J$465</f>
        <v>685.24200000000019</v>
      </c>
      <c r="H131" s="188">
        <f>H120</f>
        <v>1311907</v>
      </c>
      <c r="I131" s="189">
        <f t="shared" ref="I131:I132" si="21">H131*G131</f>
        <v>898973776.4940002</v>
      </c>
      <c r="J131" s="190"/>
    </row>
    <row r="132" spans="2:10" ht="15.75">
      <c r="B132" s="139"/>
      <c r="C132" s="140" t="s">
        <v>376</v>
      </c>
      <c r="D132" s="141" t="s">
        <v>377</v>
      </c>
      <c r="E132" s="136"/>
      <c r="F132" s="137" t="s">
        <v>378</v>
      </c>
      <c r="G132" s="143">
        <f>[7]Rekapprint!$J$471</f>
        <v>4845.1200000000008</v>
      </c>
      <c r="H132" s="188">
        <f>H121</f>
        <v>161881</v>
      </c>
      <c r="I132" s="189">
        <f t="shared" si="21"/>
        <v>784332870.72000015</v>
      </c>
      <c r="J132" s="190"/>
    </row>
    <row r="133" spans="2:10" ht="15.75">
      <c r="B133" s="139"/>
      <c r="C133" s="140" t="s">
        <v>379</v>
      </c>
      <c r="D133" s="141" t="s">
        <v>380</v>
      </c>
      <c r="E133" s="136"/>
      <c r="F133" s="137"/>
      <c r="G133" s="143"/>
      <c r="H133" s="188"/>
      <c r="I133" s="189"/>
      <c r="J133" s="190"/>
    </row>
    <row r="134" spans="2:10" ht="15.75">
      <c r="B134" s="139"/>
      <c r="C134" s="140"/>
      <c r="D134" s="141" t="s">
        <v>385</v>
      </c>
      <c r="E134" s="136"/>
      <c r="F134" s="137" t="s">
        <v>7</v>
      </c>
      <c r="G134" s="143">
        <f>[7]Rekapprint!$J$467</f>
        <v>27237.395833333336</v>
      </c>
      <c r="H134" s="188">
        <f>H123</f>
        <v>12364</v>
      </c>
      <c r="I134" s="189">
        <f t="shared" ref="I134" si="22">H134*G134</f>
        <v>336763162.08333337</v>
      </c>
      <c r="J134" s="190"/>
    </row>
    <row r="135" spans="2:10" ht="15.75" hidden="1">
      <c r="B135" s="139"/>
      <c r="C135" s="140"/>
      <c r="D135" s="141"/>
      <c r="E135" s="136"/>
      <c r="F135" s="137"/>
      <c r="G135" s="143"/>
      <c r="H135" s="188"/>
      <c r="I135" s="189"/>
      <c r="J135" s="190"/>
    </row>
    <row r="136" spans="2:10" ht="15.75">
      <c r="B136" s="139"/>
      <c r="C136" s="140"/>
      <c r="D136" s="141" t="s">
        <v>384</v>
      </c>
      <c r="E136" s="136"/>
      <c r="F136" s="137" t="s">
        <v>7</v>
      </c>
      <c r="G136" s="143">
        <f>[7]Rekapprint!$J$468</f>
        <v>8940.997706666667</v>
      </c>
      <c r="H136" s="188">
        <f>H134</f>
        <v>12364</v>
      </c>
      <c r="I136" s="189">
        <f t="shared" ref="I136:I138" si="23">H136*G136</f>
        <v>110546495.64522667</v>
      </c>
      <c r="J136" s="190"/>
    </row>
    <row r="137" spans="2:10" ht="15.75">
      <c r="B137" s="139"/>
      <c r="C137" s="140"/>
      <c r="D137" s="141" t="s">
        <v>383</v>
      </c>
      <c r="E137" s="136"/>
      <c r="F137" s="137" t="s">
        <v>7</v>
      </c>
      <c r="G137" s="143">
        <f>[7]Rekapprint!$J$469</f>
        <v>50684.040533333347</v>
      </c>
      <c r="H137" s="188">
        <f>H136</f>
        <v>12364</v>
      </c>
      <c r="I137" s="189">
        <f t="shared" si="23"/>
        <v>626657477.15413356</v>
      </c>
      <c r="J137" s="190">
        <f>SUM(I86:I138)</f>
        <v>9426752903.5066853</v>
      </c>
    </row>
    <row r="138" spans="2:10" ht="16.5" thickBot="1">
      <c r="B138" s="152"/>
      <c r="C138" s="140"/>
      <c r="D138" s="141" t="s">
        <v>395</v>
      </c>
      <c r="E138" s="136"/>
      <c r="F138" s="137" t="s">
        <v>7</v>
      </c>
      <c r="G138" s="143">
        <f>[7]Rekapprint!$J$470</f>
        <v>26673.15989333333</v>
      </c>
      <c r="H138" s="188">
        <f>H137</f>
        <v>12364</v>
      </c>
      <c r="I138" s="189">
        <f t="shared" si="23"/>
        <v>329786948.92117327</v>
      </c>
      <c r="J138" s="187"/>
    </row>
    <row r="139" spans="2:10" ht="17.25" thickTop="1" thickBot="1">
      <c r="B139" s="556">
        <v>3</v>
      </c>
      <c r="C139" s="554" t="s">
        <v>958</v>
      </c>
      <c r="D139" s="555"/>
      <c r="E139" s="557"/>
      <c r="F139" s="558"/>
      <c r="G139" s="559"/>
      <c r="H139" s="560"/>
      <c r="I139" s="561"/>
      <c r="J139" s="562"/>
    </row>
    <row r="140" spans="2:10" ht="1.5" customHeight="1" thickTop="1">
      <c r="B140" s="158"/>
      <c r="C140" s="159" t="s">
        <v>373</v>
      </c>
      <c r="D140" s="160"/>
      <c r="E140" s="161"/>
      <c r="F140" s="162"/>
      <c r="G140" s="165"/>
      <c r="H140" s="182"/>
      <c r="I140" s="192"/>
      <c r="J140" s="184"/>
    </row>
    <row r="141" spans="2:10" ht="8.25" hidden="1" customHeight="1">
      <c r="B141" s="139"/>
      <c r="C141" s="140" t="s">
        <v>374</v>
      </c>
      <c r="D141" s="141" t="s">
        <v>584</v>
      </c>
      <c r="E141" s="136"/>
      <c r="F141" s="137" t="s">
        <v>375</v>
      </c>
      <c r="G141" s="143">
        <f>[5]Weremesh!$T$16</f>
        <v>432.09399999999999</v>
      </c>
      <c r="H141" s="188">
        <f>H131</f>
        <v>1311907</v>
      </c>
      <c r="I141" s="189">
        <f>H141*G141</f>
        <v>566867143.25800002</v>
      </c>
      <c r="J141" s="190"/>
    </row>
    <row r="142" spans="2:10" ht="15.75" hidden="1">
      <c r="B142" s="139"/>
      <c r="C142" s="140" t="s">
        <v>376</v>
      </c>
      <c r="D142" s="141" t="s">
        <v>377</v>
      </c>
      <c r="E142" s="136"/>
      <c r="F142" s="137" t="s">
        <v>378</v>
      </c>
      <c r="G142" s="143">
        <f>'[6]Bekisting 1-6 Floor'!$M$18</f>
        <v>2753.31</v>
      </c>
      <c r="H142" s="188">
        <f>'Analisa Print'!I278</f>
        <v>170365</v>
      </c>
      <c r="I142" s="189">
        <f t="shared" ref="I142:I176" si="24">H142*G142</f>
        <v>469067658.14999998</v>
      </c>
      <c r="J142" s="190"/>
    </row>
    <row r="143" spans="2:10" ht="15.75" hidden="1">
      <c r="B143" s="139"/>
      <c r="C143" s="140"/>
      <c r="D143" s="141"/>
      <c r="E143" s="136"/>
      <c r="F143" s="137"/>
      <c r="G143" s="143"/>
      <c r="H143" s="188"/>
      <c r="I143" s="189"/>
      <c r="J143" s="190"/>
    </row>
    <row r="144" spans="2:10" ht="15.75" hidden="1">
      <c r="B144" s="139"/>
      <c r="C144" s="140"/>
      <c r="D144" s="141"/>
      <c r="E144" s="136"/>
      <c r="F144" s="137"/>
      <c r="G144" s="143"/>
      <c r="H144" s="188"/>
      <c r="I144" s="189"/>
      <c r="J144" s="190"/>
    </row>
    <row r="145" spans="2:10" ht="15.75" hidden="1">
      <c r="B145" s="134"/>
      <c r="C145" s="142"/>
      <c r="D145" s="135"/>
      <c r="E145" s="136"/>
      <c r="F145" s="137"/>
      <c r="G145" s="143"/>
      <c r="H145" s="188"/>
      <c r="I145" s="189"/>
      <c r="J145" s="190"/>
    </row>
    <row r="146" spans="2:10" ht="15.75" hidden="1">
      <c r="B146" s="134"/>
      <c r="C146" s="142" t="s">
        <v>386</v>
      </c>
      <c r="D146" s="135"/>
      <c r="E146" s="136"/>
      <c r="F146" s="137"/>
      <c r="G146" s="143"/>
      <c r="H146" s="188"/>
      <c r="I146" s="189"/>
      <c r="J146" s="190"/>
    </row>
    <row r="147" spans="2:10" ht="15.75" hidden="1">
      <c r="B147" s="139"/>
      <c r="C147" s="140" t="s">
        <v>374</v>
      </c>
      <c r="D147" s="141" t="s">
        <v>584</v>
      </c>
      <c r="E147" s="136"/>
      <c r="F147" s="137" t="s">
        <v>375</v>
      </c>
      <c r="G147" s="143">
        <f>[5]Weremesh!$Q$35</f>
        <v>413.37400000000002</v>
      </c>
      <c r="H147" s="188">
        <f>H141</f>
        <v>1311907</v>
      </c>
      <c r="I147" s="189">
        <f t="shared" si="24"/>
        <v>542308244.21800005</v>
      </c>
      <c r="J147" s="190"/>
    </row>
    <row r="148" spans="2:10" ht="15.75" hidden="1">
      <c r="B148" s="139"/>
      <c r="C148" s="140" t="s">
        <v>376</v>
      </c>
      <c r="D148" s="141" t="s">
        <v>377</v>
      </c>
      <c r="E148" s="136"/>
      <c r="F148" s="137" t="s">
        <v>378</v>
      </c>
      <c r="G148" s="143">
        <f>'[6]Bekisting 1-6 Floor'!$M$26</f>
        <v>2631.4100000000003</v>
      </c>
      <c r="H148" s="188">
        <f>H142</f>
        <v>170365</v>
      </c>
      <c r="I148" s="189">
        <f t="shared" si="24"/>
        <v>448300164.65000004</v>
      </c>
      <c r="J148" s="190"/>
    </row>
    <row r="149" spans="2:10" ht="15.75" hidden="1">
      <c r="B149" s="139"/>
      <c r="C149" s="140"/>
      <c r="D149" s="141"/>
      <c r="E149" s="136"/>
      <c r="F149" s="137"/>
      <c r="G149" s="143"/>
      <c r="H149" s="188"/>
      <c r="I149" s="189"/>
      <c r="J149" s="190"/>
    </row>
    <row r="150" spans="2:10" ht="15.75" hidden="1">
      <c r="B150" s="139"/>
      <c r="C150" s="140"/>
      <c r="D150" s="141"/>
      <c r="E150" s="136"/>
      <c r="F150" s="137"/>
      <c r="G150" s="143"/>
      <c r="H150" s="188"/>
      <c r="I150" s="189"/>
      <c r="J150" s="190"/>
    </row>
    <row r="151" spans="2:10" ht="15.75" hidden="1">
      <c r="B151" s="134"/>
      <c r="C151" s="142" t="s">
        <v>387</v>
      </c>
      <c r="D151" s="135"/>
      <c r="E151" s="136"/>
      <c r="F151" s="137"/>
      <c r="G151" s="143"/>
      <c r="H151" s="188"/>
      <c r="I151" s="189"/>
      <c r="J151" s="190"/>
    </row>
    <row r="152" spans="2:10" ht="12" hidden="1" customHeight="1">
      <c r="B152" s="139"/>
      <c r="C152" s="140" t="s">
        <v>374</v>
      </c>
      <c r="D152" s="141" t="s">
        <v>584</v>
      </c>
      <c r="E152" s="136"/>
      <c r="F152" s="137" t="s">
        <v>375</v>
      </c>
      <c r="G152" s="143">
        <f>[5]Weremesh!$Q$46</f>
        <v>422.73399999999998</v>
      </c>
      <c r="H152" s="188">
        <f>H147</f>
        <v>1311907</v>
      </c>
      <c r="I152" s="189">
        <f t="shared" si="24"/>
        <v>554587693.73799992</v>
      </c>
      <c r="J152" s="190"/>
    </row>
    <row r="153" spans="2:10" ht="15.75" hidden="1">
      <c r="B153" s="139"/>
      <c r="C153" s="140" t="s">
        <v>376</v>
      </c>
      <c r="D153" s="141" t="s">
        <v>377</v>
      </c>
      <c r="E153" s="136"/>
      <c r="F153" s="137" t="s">
        <v>378</v>
      </c>
      <c r="G153" s="143">
        <f>'[6]Bekisting 1-6 Floor'!$M$34</f>
        <v>2815.8500000000004</v>
      </c>
      <c r="H153" s="188">
        <f>H148</f>
        <v>170365</v>
      </c>
      <c r="I153" s="189">
        <f t="shared" si="24"/>
        <v>479722285.25000006</v>
      </c>
      <c r="J153" s="190"/>
    </row>
    <row r="154" spans="2:10" ht="15.75" hidden="1">
      <c r="B154" s="139"/>
      <c r="C154" s="140"/>
      <c r="D154" s="141"/>
      <c r="E154" s="136"/>
      <c r="F154" s="137"/>
      <c r="G154" s="143"/>
      <c r="H154" s="188"/>
      <c r="I154" s="189"/>
      <c r="J154" s="190"/>
    </row>
    <row r="155" spans="2:10" ht="15.75" hidden="1">
      <c r="B155" s="139"/>
      <c r="C155" s="140"/>
      <c r="D155" s="141"/>
      <c r="E155" s="136"/>
      <c r="F155" s="137"/>
      <c r="G155" s="143"/>
      <c r="H155" s="188"/>
      <c r="I155" s="189"/>
      <c r="J155" s="190"/>
    </row>
    <row r="156" spans="2:10" ht="15.75" hidden="1">
      <c r="B156" s="134"/>
      <c r="C156" s="142" t="s">
        <v>388</v>
      </c>
      <c r="D156" s="135"/>
      <c r="E156" s="136"/>
      <c r="F156" s="137"/>
      <c r="G156" s="143"/>
      <c r="H156" s="188"/>
      <c r="I156" s="189"/>
      <c r="J156" s="190"/>
    </row>
    <row r="157" spans="2:10" ht="15.75" hidden="1">
      <c r="B157" s="139"/>
      <c r="C157" s="140" t="s">
        <v>374</v>
      </c>
      <c r="D157" s="141" t="s">
        <v>584</v>
      </c>
      <c r="E157" s="136"/>
      <c r="F157" s="137" t="s">
        <v>375</v>
      </c>
      <c r="G157" s="143">
        <f>[5]Weremesh!$Q$58</f>
        <v>422.73399999999998</v>
      </c>
      <c r="H157" s="188">
        <f>H152</f>
        <v>1311907</v>
      </c>
      <c r="I157" s="189">
        <f t="shared" si="24"/>
        <v>554587693.73799992</v>
      </c>
      <c r="J157" s="190"/>
    </row>
    <row r="158" spans="2:10" ht="15.75" hidden="1">
      <c r="B158" s="139"/>
      <c r="C158" s="140" t="s">
        <v>376</v>
      </c>
      <c r="D158" s="141" t="s">
        <v>377</v>
      </c>
      <c r="E158" s="136"/>
      <c r="F158" s="137" t="s">
        <v>378</v>
      </c>
      <c r="G158" s="143">
        <f>'[6]Bekisting 1-6 Floor'!$M$42</f>
        <v>2815.8500000000004</v>
      </c>
      <c r="H158" s="188">
        <f>H153</f>
        <v>170365</v>
      </c>
      <c r="I158" s="189">
        <f t="shared" si="24"/>
        <v>479722285.25000006</v>
      </c>
      <c r="J158" s="190"/>
    </row>
    <row r="159" spans="2:10" ht="15.75" hidden="1">
      <c r="B159" s="139"/>
      <c r="C159" s="140"/>
      <c r="D159" s="141"/>
      <c r="E159" s="136"/>
      <c r="F159" s="137"/>
      <c r="G159" s="143"/>
      <c r="H159" s="188"/>
      <c r="I159" s="189"/>
      <c r="J159" s="190"/>
    </row>
    <row r="160" spans="2:10" ht="15.75" hidden="1">
      <c r="B160" s="139"/>
      <c r="C160" s="140"/>
      <c r="D160" s="141"/>
      <c r="E160" s="136"/>
      <c r="F160" s="137"/>
      <c r="G160" s="143"/>
      <c r="H160" s="188"/>
      <c r="I160" s="189"/>
      <c r="J160" s="190"/>
    </row>
    <row r="161" spans="2:10" ht="15.75" hidden="1">
      <c r="B161" s="134"/>
      <c r="C161" s="142" t="s">
        <v>389</v>
      </c>
      <c r="D161" s="135"/>
      <c r="E161" s="136"/>
      <c r="F161" s="137"/>
      <c r="G161" s="143"/>
      <c r="H161" s="188"/>
      <c r="I161" s="189"/>
      <c r="J161" s="190"/>
    </row>
    <row r="162" spans="2:10" ht="15.75" hidden="1">
      <c r="B162" s="139"/>
      <c r="C162" s="140" t="s">
        <v>374</v>
      </c>
      <c r="D162" s="141" t="s">
        <v>584</v>
      </c>
      <c r="E162" s="136"/>
      <c r="F162" s="137" t="s">
        <v>375</v>
      </c>
      <c r="G162" s="143">
        <f>[5]Weremesh!$Q$69</f>
        <v>341.64</v>
      </c>
      <c r="H162" s="188">
        <f>H157</f>
        <v>1311907</v>
      </c>
      <c r="I162" s="189">
        <f t="shared" si="24"/>
        <v>448199907.47999996</v>
      </c>
      <c r="J162" s="190"/>
    </row>
    <row r="163" spans="2:10" ht="15.75" hidden="1">
      <c r="B163" s="139"/>
      <c r="C163" s="140" t="s">
        <v>376</v>
      </c>
      <c r="D163" s="141" t="s">
        <v>377</v>
      </c>
      <c r="E163" s="136"/>
      <c r="F163" s="137" t="s">
        <v>378</v>
      </c>
      <c r="G163" s="143">
        <f>'[6]Bekisting 1-6 Floor'!$M$50</f>
        <v>2416.23</v>
      </c>
      <c r="H163" s="188">
        <f>H158</f>
        <v>170365</v>
      </c>
      <c r="I163" s="189">
        <f t="shared" si="24"/>
        <v>411641023.94999999</v>
      </c>
      <c r="J163" s="190"/>
    </row>
    <row r="164" spans="2:10" ht="15.75" hidden="1">
      <c r="B164" s="139"/>
      <c r="C164" s="140"/>
      <c r="D164" s="141"/>
      <c r="E164" s="136"/>
      <c r="F164" s="137"/>
      <c r="G164" s="143"/>
      <c r="H164" s="188"/>
      <c r="I164" s="189"/>
      <c r="J164" s="190"/>
    </row>
    <row r="165" spans="2:10" ht="15.75" hidden="1">
      <c r="B165" s="139"/>
      <c r="C165" s="140"/>
      <c r="D165" s="141"/>
      <c r="E165" s="136"/>
      <c r="F165" s="137"/>
      <c r="G165" s="143"/>
      <c r="H165" s="188"/>
      <c r="I165" s="189"/>
      <c r="J165" s="190"/>
    </row>
    <row r="166" spans="2:10" ht="15.75" hidden="1">
      <c r="B166" s="134"/>
      <c r="C166" s="142" t="s">
        <v>390</v>
      </c>
      <c r="D166" s="135"/>
      <c r="E166" s="136"/>
      <c r="F166" s="137"/>
      <c r="G166" s="143"/>
      <c r="H166" s="188"/>
      <c r="I166" s="189"/>
      <c r="J166" s="190"/>
    </row>
    <row r="167" spans="2:10" ht="15.75" hidden="1">
      <c r="B167" s="139"/>
      <c r="C167" s="140" t="s">
        <v>374</v>
      </c>
      <c r="D167" s="141" t="s">
        <v>584</v>
      </c>
      <c r="E167" s="136"/>
      <c r="F167" s="137" t="s">
        <v>375</v>
      </c>
      <c r="G167" s="143">
        <f>[5]Weremesh!$Q$77</f>
        <v>93.600000000000009</v>
      </c>
      <c r="H167" s="188">
        <f>H162</f>
        <v>1311907</v>
      </c>
      <c r="I167" s="189">
        <f t="shared" si="24"/>
        <v>122794495.20000002</v>
      </c>
      <c r="J167" s="190"/>
    </row>
    <row r="168" spans="2:10" ht="15.75" hidden="1">
      <c r="B168" s="139"/>
      <c r="C168" s="140" t="s">
        <v>376</v>
      </c>
      <c r="D168" s="141" t="s">
        <v>377</v>
      </c>
      <c r="E168" s="136"/>
      <c r="F168" s="137" t="s">
        <v>378</v>
      </c>
      <c r="G168" s="143">
        <f>'[6]Bekisting 1-6 Floor'!$M$54</f>
        <v>588.81600000000003</v>
      </c>
      <c r="H168" s="188">
        <f>H163</f>
        <v>170365</v>
      </c>
      <c r="I168" s="189">
        <f t="shared" si="24"/>
        <v>100313637.84</v>
      </c>
      <c r="J168" s="190"/>
    </row>
    <row r="169" spans="2:10" ht="15.75" hidden="1">
      <c r="B169" s="139"/>
      <c r="C169" s="140"/>
      <c r="D169" s="141"/>
      <c r="E169" s="136"/>
      <c r="F169" s="137"/>
      <c r="G169" s="143"/>
      <c r="H169" s="188"/>
      <c r="I169" s="189"/>
      <c r="J169" s="190"/>
    </row>
    <row r="170" spans="2:10" ht="15.75" hidden="1">
      <c r="B170" s="139"/>
      <c r="C170" s="140"/>
      <c r="D170" s="141"/>
      <c r="E170" s="136"/>
      <c r="F170" s="137"/>
      <c r="G170" s="143"/>
      <c r="H170" s="188"/>
      <c r="I170" s="189"/>
      <c r="J170" s="190"/>
    </row>
    <row r="171" spans="2:10" ht="15.75">
      <c r="B171" s="134"/>
      <c r="C171" s="142"/>
      <c r="D171" s="135"/>
      <c r="E171" s="136"/>
      <c r="F171" s="137"/>
      <c r="G171" s="143"/>
      <c r="H171" s="188"/>
      <c r="I171" s="189"/>
      <c r="J171" s="190"/>
    </row>
    <row r="172" spans="2:10" ht="15.75">
      <c r="B172" s="134"/>
      <c r="C172" s="142" t="s">
        <v>955</v>
      </c>
      <c r="D172" s="135"/>
      <c r="E172" s="136"/>
      <c r="F172" s="137"/>
      <c r="G172" s="143"/>
      <c r="H172" s="188"/>
      <c r="I172" s="189"/>
      <c r="J172" s="190"/>
    </row>
    <row r="173" spans="2:10" ht="15.75">
      <c r="B173" s="139"/>
      <c r="C173" s="140" t="s">
        <v>374</v>
      </c>
      <c r="D173" s="141" t="s">
        <v>584</v>
      </c>
      <c r="E173" s="136"/>
      <c r="F173" s="137" t="s">
        <v>375</v>
      </c>
      <c r="G173" s="143">
        <f>[7]Rekapprint!$J$476</f>
        <v>53.515199999999993</v>
      </c>
      <c r="H173" s="188">
        <f>H167</f>
        <v>1311907</v>
      </c>
      <c r="I173" s="189">
        <f t="shared" si="24"/>
        <v>70206965.486399993</v>
      </c>
      <c r="J173" s="190"/>
    </row>
    <row r="174" spans="2:10" ht="15.75">
      <c r="B174" s="139"/>
      <c r="C174" s="140" t="s">
        <v>376</v>
      </c>
      <c r="D174" s="141" t="s">
        <v>377</v>
      </c>
      <c r="E174" s="136"/>
      <c r="F174" s="137" t="s">
        <v>378</v>
      </c>
      <c r="G174" s="143">
        <f>[7]Rekapprint!$J$479</f>
        <v>496.26400000000001</v>
      </c>
      <c r="H174" s="188">
        <f>H168</f>
        <v>170365</v>
      </c>
      <c r="I174" s="189">
        <f t="shared" si="24"/>
        <v>84546016.359999999</v>
      </c>
      <c r="J174" s="190"/>
    </row>
    <row r="175" spans="2:10" ht="15.75">
      <c r="B175" s="139"/>
      <c r="C175" s="140" t="s">
        <v>379</v>
      </c>
      <c r="D175" s="141" t="s">
        <v>380</v>
      </c>
      <c r="E175" s="136"/>
      <c r="F175" s="137"/>
      <c r="G175" s="143"/>
      <c r="H175" s="188"/>
      <c r="I175" s="189"/>
      <c r="J175" s="190"/>
    </row>
    <row r="176" spans="2:10" ht="15.75">
      <c r="B176" s="139"/>
      <c r="C176" s="140"/>
      <c r="D176" s="141" t="s">
        <v>381</v>
      </c>
      <c r="E176" s="136"/>
      <c r="F176" s="137" t="s">
        <v>7</v>
      </c>
      <c r="G176" s="143">
        <f>[7]Rekapprint!$J$478</f>
        <v>2959.5677460317456</v>
      </c>
      <c r="H176" s="188">
        <f>H134</f>
        <v>12364</v>
      </c>
      <c r="I176" s="189">
        <f t="shared" si="24"/>
        <v>36592095.611936502</v>
      </c>
      <c r="J176" s="190"/>
    </row>
    <row r="177" spans="2:10" ht="15.75">
      <c r="B177" s="152"/>
      <c r="C177" s="153"/>
      <c r="D177" s="154"/>
      <c r="E177" s="155"/>
      <c r="F177" s="156"/>
      <c r="G177" s="164"/>
      <c r="H177" s="185"/>
      <c r="I177" s="191"/>
      <c r="J177" s="187"/>
    </row>
    <row r="178" spans="2:10" ht="15.75">
      <c r="B178" s="567"/>
      <c r="C178" s="142" t="s">
        <v>386</v>
      </c>
      <c r="D178" s="135"/>
      <c r="E178" s="136"/>
      <c r="F178" s="137"/>
      <c r="G178" s="143"/>
      <c r="H178" s="188"/>
      <c r="I178" s="189"/>
      <c r="J178" s="190"/>
    </row>
    <row r="179" spans="2:10" ht="15.75">
      <c r="B179" s="567"/>
      <c r="C179" s="140" t="s">
        <v>374</v>
      </c>
      <c r="D179" s="141" t="s">
        <v>584</v>
      </c>
      <c r="E179" s="136"/>
      <c r="F179" s="137" t="s">
        <v>375</v>
      </c>
      <c r="G179" s="143">
        <f>[7]Rekapprint!$J$482</f>
        <v>11.755146666666667</v>
      </c>
      <c r="H179" s="188">
        <f>H173</f>
        <v>1311907</v>
      </c>
      <c r="I179" s="189">
        <f t="shared" ref="I179:I180" si="25">H179*G179</f>
        <v>15421659.198026666</v>
      </c>
      <c r="J179" s="190"/>
    </row>
    <row r="180" spans="2:10" ht="15.75">
      <c r="B180" s="567"/>
      <c r="C180" s="140" t="s">
        <v>376</v>
      </c>
      <c r="D180" s="141" t="s">
        <v>377</v>
      </c>
      <c r="E180" s="136"/>
      <c r="F180" s="137" t="s">
        <v>378</v>
      </c>
      <c r="G180" s="143">
        <f>[7]Rekapprint!$J$485</f>
        <v>113.79955555555557</v>
      </c>
      <c r="H180" s="188">
        <f>H174</f>
        <v>170365</v>
      </c>
      <c r="I180" s="189">
        <f t="shared" si="25"/>
        <v>19387461.282222226</v>
      </c>
      <c r="J180" s="190"/>
    </row>
    <row r="181" spans="2:10" ht="15.75">
      <c r="B181" s="567"/>
      <c r="C181" s="140" t="s">
        <v>379</v>
      </c>
      <c r="D181" s="141" t="s">
        <v>380</v>
      </c>
      <c r="E181" s="136"/>
      <c r="F181" s="137"/>
      <c r="G181" s="143"/>
      <c r="H181" s="188"/>
      <c r="I181" s="189"/>
      <c r="J181" s="190"/>
    </row>
    <row r="182" spans="2:10" ht="15.75">
      <c r="B182" s="567"/>
      <c r="C182" s="140"/>
      <c r="D182" s="141" t="s">
        <v>381</v>
      </c>
      <c r="E182" s="136"/>
      <c r="F182" s="137" t="s">
        <v>7</v>
      </c>
      <c r="G182" s="143">
        <f>[7]Rekapprint!$J$484</f>
        <v>1479.7838730158728</v>
      </c>
      <c r="H182" s="188">
        <f>H176</f>
        <v>12364</v>
      </c>
      <c r="I182" s="189">
        <f t="shared" ref="I182" si="26">H182*G182</f>
        <v>18296047.805968251</v>
      </c>
      <c r="J182" s="190"/>
    </row>
    <row r="183" spans="2:10" ht="15.75">
      <c r="B183" s="567"/>
      <c r="C183" s="568"/>
      <c r="D183" s="126"/>
      <c r="E183" s="124"/>
      <c r="F183" s="125"/>
      <c r="G183" s="569"/>
      <c r="H183" s="570"/>
      <c r="I183" s="180"/>
      <c r="J183" s="571"/>
    </row>
    <row r="184" spans="2:10" ht="15.75">
      <c r="B184" s="567"/>
      <c r="C184" s="142" t="s">
        <v>948</v>
      </c>
      <c r="D184" s="135"/>
      <c r="E184" s="136"/>
      <c r="F184" s="137"/>
      <c r="G184" s="143"/>
      <c r="H184" s="188"/>
      <c r="I184" s="189"/>
      <c r="J184" s="190"/>
    </row>
    <row r="185" spans="2:10" ht="15.75">
      <c r="B185" s="567"/>
      <c r="C185" s="140" t="s">
        <v>374</v>
      </c>
      <c r="D185" s="141" t="s">
        <v>584</v>
      </c>
      <c r="E185" s="136"/>
      <c r="F185" s="137" t="s">
        <v>375</v>
      </c>
      <c r="G185" s="143">
        <f>[7]Rekapprint!$J$488</f>
        <v>47.020586666666667</v>
      </c>
      <c r="H185" s="188">
        <f>H179</f>
        <v>1311907</v>
      </c>
      <c r="I185" s="189">
        <f t="shared" ref="I185:I186" si="27">H185*G185</f>
        <v>61686636.792106666</v>
      </c>
      <c r="J185" s="190"/>
    </row>
    <row r="186" spans="2:10" ht="15.75">
      <c r="B186" s="567"/>
      <c r="C186" s="140" t="s">
        <v>376</v>
      </c>
      <c r="D186" s="141" t="s">
        <v>377</v>
      </c>
      <c r="E186" s="136"/>
      <c r="F186" s="137" t="s">
        <v>378</v>
      </c>
      <c r="G186" s="143">
        <f>[7]Rekapprint!$J$491</f>
        <v>455.19822222222228</v>
      </c>
      <c r="H186" s="188">
        <f>H180</f>
        <v>170365</v>
      </c>
      <c r="I186" s="189">
        <f t="shared" si="27"/>
        <v>77549845.128888905</v>
      </c>
      <c r="J186" s="190"/>
    </row>
    <row r="187" spans="2:10" ht="15.75">
      <c r="B187" s="567"/>
      <c r="C187" s="140" t="s">
        <v>379</v>
      </c>
      <c r="D187" s="141" t="s">
        <v>380</v>
      </c>
      <c r="E187" s="136"/>
      <c r="F187" s="137"/>
      <c r="G187" s="143"/>
      <c r="H187" s="188"/>
      <c r="I187" s="189"/>
      <c r="J187" s="190"/>
    </row>
    <row r="188" spans="2:10" ht="15.75">
      <c r="B188" s="567"/>
      <c r="C188" s="140"/>
      <c r="D188" s="141" t="s">
        <v>381</v>
      </c>
      <c r="E188" s="136"/>
      <c r="F188" s="137" t="s">
        <v>7</v>
      </c>
      <c r="G188" s="143">
        <f>[7]Rekapprint!$J$490</f>
        <v>5919.1354920634913</v>
      </c>
      <c r="H188" s="188">
        <f>H182</f>
        <v>12364</v>
      </c>
      <c r="I188" s="189">
        <f t="shared" ref="I188" si="28">H188*G188</f>
        <v>73184191.223873004</v>
      </c>
      <c r="J188" s="190"/>
    </row>
    <row r="189" spans="2:10" ht="15.75">
      <c r="B189" s="567"/>
      <c r="C189" s="568"/>
      <c r="D189" s="126"/>
      <c r="E189" s="124"/>
      <c r="F189" s="125"/>
      <c r="G189" s="569"/>
      <c r="H189" s="570"/>
      <c r="I189" s="180"/>
      <c r="J189" s="571"/>
    </row>
    <row r="190" spans="2:10" ht="15.75">
      <c r="B190" s="567"/>
      <c r="C190" s="142" t="s">
        <v>956</v>
      </c>
      <c r="D190" s="135"/>
      <c r="E190" s="136"/>
      <c r="F190" s="137"/>
      <c r="G190" s="143"/>
      <c r="H190" s="188"/>
      <c r="I190" s="189"/>
      <c r="J190" s="571"/>
    </row>
    <row r="191" spans="2:10" ht="15.75">
      <c r="B191" s="567"/>
      <c r="C191" s="140" t="s">
        <v>374</v>
      </c>
      <c r="D191" s="141" t="s">
        <v>584</v>
      </c>
      <c r="E191" s="136"/>
      <c r="F191" s="137" t="s">
        <v>375</v>
      </c>
      <c r="G191" s="143">
        <f>[7]Rekapprint!$J$494</f>
        <v>1159.9536000000001</v>
      </c>
      <c r="H191" s="188">
        <f>H185</f>
        <v>1311907</v>
      </c>
      <c r="I191" s="189">
        <f t="shared" ref="I191:I192" si="29">H191*G191</f>
        <v>1521751247.5152001</v>
      </c>
      <c r="J191" s="571"/>
    </row>
    <row r="192" spans="2:10" ht="15.75">
      <c r="B192" s="567"/>
      <c r="C192" s="140" t="s">
        <v>376</v>
      </c>
      <c r="D192" s="141" t="s">
        <v>377</v>
      </c>
      <c r="E192" s="136"/>
      <c r="F192" s="137" t="s">
        <v>378</v>
      </c>
      <c r="G192" s="143">
        <f>[7]Rekapprint!$J$497</f>
        <v>1071.3040000000001</v>
      </c>
      <c r="H192" s="188">
        <f>H186</f>
        <v>170365</v>
      </c>
      <c r="I192" s="189">
        <f t="shared" si="29"/>
        <v>182512705.96000001</v>
      </c>
      <c r="J192" s="571"/>
    </row>
    <row r="193" spans="2:10" ht="15.75">
      <c r="B193" s="567"/>
      <c r="C193" s="140" t="s">
        <v>379</v>
      </c>
      <c r="D193" s="141" t="s">
        <v>380</v>
      </c>
      <c r="E193" s="136"/>
      <c r="F193" s="137"/>
      <c r="G193" s="143"/>
      <c r="H193" s="188"/>
      <c r="I193" s="189"/>
      <c r="J193" s="571"/>
    </row>
    <row r="194" spans="2:10" ht="16.5" thickBot="1">
      <c r="B194" s="567"/>
      <c r="C194" s="140"/>
      <c r="D194" s="141" t="s">
        <v>381</v>
      </c>
      <c r="E194" s="136"/>
      <c r="F194" s="137" t="s">
        <v>7</v>
      </c>
      <c r="G194" s="143">
        <f>[7]Rekapprint!$J$496</f>
        <v>349090.55999999988</v>
      </c>
      <c r="H194" s="188">
        <f>H188</f>
        <v>12364</v>
      </c>
      <c r="I194" s="189">
        <f t="shared" ref="I194" si="30">H194*G194</f>
        <v>4316155683.8399982</v>
      </c>
      <c r="J194" s="571">
        <f>SUM(I173:I194)</f>
        <v>6477290556.2046204</v>
      </c>
    </row>
    <row r="195" spans="2:10" ht="17.25" thickTop="1" thickBot="1">
      <c r="B195" s="556">
        <v>4</v>
      </c>
      <c r="C195" s="563" t="s">
        <v>394</v>
      </c>
      <c r="D195" s="564"/>
      <c r="E195" s="557"/>
      <c r="F195" s="558"/>
      <c r="G195" s="559"/>
      <c r="H195" s="560"/>
      <c r="I195" s="561"/>
      <c r="J195" s="562"/>
    </row>
    <row r="196" spans="2:10" ht="16.5" thickTop="1">
      <c r="B196" s="158"/>
      <c r="C196" s="159" t="s">
        <v>972</v>
      </c>
      <c r="D196" s="160"/>
      <c r="E196" s="161"/>
      <c r="F196" s="162"/>
      <c r="G196" s="165"/>
      <c r="H196" s="182"/>
      <c r="I196" s="192"/>
      <c r="J196" s="184"/>
    </row>
    <row r="197" spans="2:10" ht="15.75">
      <c r="B197" s="139"/>
      <c r="C197" s="140" t="s">
        <v>374</v>
      </c>
      <c r="D197" s="141" t="s">
        <v>584</v>
      </c>
      <c r="E197" s="136"/>
      <c r="F197" s="137" t="s">
        <v>375</v>
      </c>
      <c r="G197" s="143">
        <f>[7]Rekapprint!$J$508</f>
        <v>38.717999999999996</v>
      </c>
      <c r="H197" s="188">
        <f>H173</f>
        <v>1311907</v>
      </c>
      <c r="I197" s="189">
        <f t="shared" ref="I197:I201" si="31">H197*G197</f>
        <v>50794415.225999996</v>
      </c>
      <c r="J197" s="190"/>
    </row>
    <row r="198" spans="2:10" ht="15.75">
      <c r="B198" s="139"/>
      <c r="C198" s="140" t="s">
        <v>376</v>
      </c>
      <c r="D198" s="141" t="s">
        <v>377</v>
      </c>
      <c r="E198" s="136"/>
      <c r="F198" s="137" t="s">
        <v>378</v>
      </c>
      <c r="G198" s="143">
        <f>[7]Rekapprint!$J$512</f>
        <v>258.12</v>
      </c>
      <c r="H198" s="188">
        <f>'Analisa Print'!I303</f>
        <v>271117</v>
      </c>
      <c r="I198" s="189">
        <f t="shared" si="31"/>
        <v>69980720.040000007</v>
      </c>
      <c r="J198" s="190"/>
    </row>
    <row r="199" spans="2:10" ht="15.75">
      <c r="B199" s="139"/>
      <c r="C199" s="140" t="s">
        <v>379</v>
      </c>
      <c r="D199" s="141" t="s">
        <v>380</v>
      </c>
      <c r="E199" s="136"/>
      <c r="F199" s="137"/>
      <c r="G199" s="143"/>
      <c r="H199" s="188"/>
      <c r="I199" s="189"/>
      <c r="J199" s="190"/>
    </row>
    <row r="200" spans="2:10" ht="15.75">
      <c r="B200" s="139"/>
      <c r="C200" s="140"/>
      <c r="D200" s="141" t="s">
        <v>382</v>
      </c>
      <c r="E200" s="136"/>
      <c r="F200" s="137" t="s">
        <v>7</v>
      </c>
      <c r="G200" s="143">
        <f>[7]Rekapprint!$J$510</f>
        <v>9862.1065399999989</v>
      </c>
      <c r="H200" s="188">
        <f>H176</f>
        <v>12364</v>
      </c>
      <c r="I200" s="189">
        <f t="shared" si="31"/>
        <v>121935085.26055999</v>
      </c>
      <c r="J200" s="190"/>
    </row>
    <row r="201" spans="2:10" ht="15.75">
      <c r="B201" s="139"/>
      <c r="C201" s="140"/>
      <c r="D201" s="141" t="s">
        <v>395</v>
      </c>
      <c r="E201" s="136"/>
      <c r="F201" s="137" t="s">
        <v>7</v>
      </c>
      <c r="G201" s="143">
        <f>[7]Rekapprint!$J$511</f>
        <v>1835.3109359999999</v>
      </c>
      <c r="H201" s="188">
        <f>H200</f>
        <v>12364</v>
      </c>
      <c r="I201" s="189">
        <f t="shared" si="31"/>
        <v>22691784.412703998</v>
      </c>
      <c r="J201" s="190"/>
    </row>
    <row r="202" spans="2:10" ht="15.75">
      <c r="B202" s="139"/>
      <c r="C202" s="140"/>
      <c r="D202" s="141"/>
      <c r="E202" s="136"/>
      <c r="F202" s="137"/>
      <c r="G202" s="143"/>
      <c r="H202" s="188"/>
      <c r="I202" s="189"/>
      <c r="J202" s="190"/>
    </row>
    <row r="203" spans="2:10" ht="15.75">
      <c r="B203" s="134"/>
      <c r="C203" s="142" t="s">
        <v>957</v>
      </c>
      <c r="D203" s="135"/>
      <c r="E203" s="136"/>
      <c r="F203" s="137"/>
      <c r="G203" s="143"/>
      <c r="H203" s="188"/>
      <c r="I203" s="189"/>
      <c r="J203" s="190"/>
    </row>
    <row r="204" spans="2:10" ht="15.75">
      <c r="B204" s="139"/>
      <c r="C204" s="140" t="s">
        <v>374</v>
      </c>
      <c r="D204" s="141" t="s">
        <v>584</v>
      </c>
      <c r="E204" s="136"/>
      <c r="F204" s="137" t="s">
        <v>375</v>
      </c>
      <c r="G204" s="143">
        <f>[7]Rekapprint!$J$515</f>
        <v>70.98299999999999</v>
      </c>
      <c r="H204" s="188">
        <f>H197</f>
        <v>1311907</v>
      </c>
      <c r="I204" s="189">
        <f t="shared" ref="I204:I205" si="32">H204*G204</f>
        <v>93123094.580999985</v>
      </c>
      <c r="J204" s="190"/>
    </row>
    <row r="205" spans="2:10" ht="15.75">
      <c r="B205" s="139"/>
      <c r="C205" s="140" t="s">
        <v>376</v>
      </c>
      <c r="D205" s="141" t="s">
        <v>377</v>
      </c>
      <c r="E205" s="136"/>
      <c r="F205" s="137" t="s">
        <v>378</v>
      </c>
      <c r="G205" s="143">
        <f>[7]Rekapprint!$J$519</f>
        <v>473.22</v>
      </c>
      <c r="H205" s="188">
        <f>H198</f>
        <v>271117</v>
      </c>
      <c r="I205" s="189">
        <f t="shared" si="32"/>
        <v>128297986.74000001</v>
      </c>
      <c r="J205" s="190"/>
    </row>
    <row r="206" spans="2:10" ht="15.75">
      <c r="B206" s="139"/>
      <c r="C206" s="140" t="s">
        <v>379</v>
      </c>
      <c r="D206" s="141" t="s">
        <v>380</v>
      </c>
      <c r="E206" s="136"/>
      <c r="F206" s="137"/>
      <c r="G206" s="143"/>
      <c r="H206" s="188"/>
      <c r="I206" s="189"/>
      <c r="J206" s="190"/>
    </row>
    <row r="207" spans="2:10" ht="15.75">
      <c r="B207" s="139"/>
      <c r="C207" s="140"/>
      <c r="D207" s="141" t="s">
        <v>382</v>
      </c>
      <c r="E207" s="136"/>
      <c r="F207" s="137" t="s">
        <v>7</v>
      </c>
      <c r="G207" s="143">
        <f>[7]Rekapprint!$J$517</f>
        <v>18080.528656666665</v>
      </c>
      <c r="H207" s="188">
        <f>H201</f>
        <v>12364</v>
      </c>
      <c r="I207" s="189">
        <f t="shared" ref="I207" si="33">H207*G207</f>
        <v>223547656.31102666</v>
      </c>
      <c r="J207" s="190"/>
    </row>
    <row r="208" spans="2:10" ht="15.75">
      <c r="B208" s="139"/>
      <c r="C208" s="140"/>
      <c r="D208" s="141" t="s">
        <v>395</v>
      </c>
      <c r="E208" s="136"/>
      <c r="F208" s="137" t="s">
        <v>7</v>
      </c>
      <c r="G208" s="143">
        <f>[7]Rekapprint!$J$518</f>
        <v>3364.7367159999999</v>
      </c>
      <c r="H208" s="188">
        <f>H207</f>
        <v>12364</v>
      </c>
      <c r="I208" s="189">
        <f>H208*G208</f>
        <v>41601604.756623998</v>
      </c>
      <c r="J208" s="190"/>
    </row>
    <row r="209" spans="2:10" ht="15.75">
      <c r="B209" s="139"/>
      <c r="C209" s="140"/>
      <c r="D209" s="141"/>
      <c r="E209" s="136"/>
      <c r="F209" s="137"/>
      <c r="G209" s="143"/>
      <c r="H209" s="188"/>
      <c r="I209" s="189"/>
      <c r="J209" s="190">
        <f>SUM(I196:I209)</f>
        <v>751972347.3279146</v>
      </c>
    </row>
    <row r="210" spans="2:10" ht="15.75" customHeight="1" thickBot="1">
      <c r="B210" s="152"/>
      <c r="C210" s="153"/>
      <c r="D210" s="154"/>
      <c r="E210" s="155"/>
      <c r="F210" s="156"/>
      <c r="G210" s="164"/>
      <c r="H210" s="185"/>
      <c r="I210" s="191"/>
      <c r="J210" s="187"/>
    </row>
    <row r="211" spans="2:10" ht="17.25" hidden="1" thickTop="1" thickBot="1">
      <c r="B211" s="166"/>
      <c r="C211" s="167"/>
      <c r="D211" s="168"/>
      <c r="E211" s="169"/>
      <c r="F211" s="170"/>
      <c r="G211" s="171"/>
      <c r="H211" s="204"/>
      <c r="I211" s="205"/>
      <c r="J211" s="206"/>
    </row>
    <row r="212" spans="2:10" ht="6.75" hidden="1" customHeight="1" thickTop="1" thickBot="1">
      <c r="B212" s="158"/>
      <c r="C212" s="159"/>
      <c r="D212" s="160"/>
      <c r="E212" s="161"/>
      <c r="F212" s="162"/>
      <c r="G212" s="165"/>
      <c r="H212" s="182"/>
      <c r="I212" s="193"/>
      <c r="J212" s="184"/>
    </row>
    <row r="213" spans="2:10" ht="16.5" hidden="1" thickBot="1">
      <c r="B213" s="139"/>
      <c r="C213" s="140"/>
      <c r="D213" s="141"/>
      <c r="E213" s="136"/>
      <c r="F213" s="137"/>
      <c r="G213" s="143"/>
      <c r="H213" s="188"/>
      <c r="I213" s="189"/>
      <c r="J213" s="190"/>
    </row>
    <row r="214" spans="2:10" ht="16.5" hidden="1" thickBot="1">
      <c r="B214" s="139"/>
      <c r="C214" s="140"/>
      <c r="D214" s="141"/>
      <c r="E214" s="136"/>
      <c r="F214" s="137"/>
      <c r="G214" s="143"/>
      <c r="H214" s="188"/>
      <c r="I214" s="189"/>
      <c r="J214" s="190"/>
    </row>
    <row r="215" spans="2:10" ht="16.5" hidden="1" thickBot="1">
      <c r="B215" s="139"/>
      <c r="C215" s="140"/>
      <c r="D215" s="141"/>
      <c r="E215" s="136"/>
      <c r="F215" s="137"/>
      <c r="G215" s="143"/>
      <c r="H215" s="188"/>
      <c r="I215" s="189"/>
      <c r="J215" s="190"/>
    </row>
    <row r="216" spans="2:10" ht="16.5" hidden="1" thickBot="1">
      <c r="B216" s="139"/>
      <c r="C216" s="140"/>
      <c r="D216" s="141"/>
      <c r="E216" s="136"/>
      <c r="F216" s="137"/>
      <c r="G216" s="143"/>
      <c r="H216" s="188"/>
      <c r="I216" s="189"/>
      <c r="J216" s="190"/>
    </row>
    <row r="217" spans="2:10" ht="16.5" hidden="1" thickBot="1">
      <c r="B217" s="139"/>
      <c r="C217" s="141"/>
      <c r="D217" s="141"/>
      <c r="E217" s="136"/>
      <c r="F217" s="144"/>
      <c r="G217" s="145"/>
      <c r="H217" s="194"/>
      <c r="I217" s="189"/>
      <c r="J217" s="195"/>
    </row>
    <row r="218" spans="2:10" ht="16.5" hidden="1" thickBot="1">
      <c r="B218" s="139"/>
      <c r="C218" s="141"/>
      <c r="D218" s="141"/>
      <c r="E218" s="136"/>
      <c r="F218" s="146"/>
      <c r="G218" s="147"/>
      <c r="H218" s="194"/>
      <c r="I218" s="189"/>
      <c r="J218" s="195"/>
    </row>
    <row r="219" spans="2:10" ht="16.5" hidden="1" thickBot="1">
      <c r="B219" s="148"/>
      <c r="C219" s="149"/>
      <c r="D219" s="133"/>
      <c r="E219" s="133"/>
      <c r="F219" s="150"/>
      <c r="G219" s="151"/>
      <c r="H219" s="188"/>
      <c r="I219" s="189"/>
      <c r="J219" s="190"/>
    </row>
    <row r="220" spans="2:10" ht="16.5" hidden="1" thickBot="1">
      <c r="B220" s="134"/>
      <c r="C220" s="142"/>
      <c r="D220" s="135"/>
      <c r="E220" s="136"/>
      <c r="F220" s="137"/>
      <c r="G220" s="143"/>
      <c r="H220" s="188"/>
      <c r="I220" s="189"/>
      <c r="J220" s="190"/>
    </row>
    <row r="221" spans="2:10" ht="16.5" hidden="1" thickBot="1">
      <c r="B221" s="139"/>
      <c r="C221" s="140"/>
      <c r="D221" s="141"/>
      <c r="E221" s="136"/>
      <c r="F221" s="137"/>
      <c r="G221" s="143"/>
      <c r="H221" s="188"/>
      <c r="I221" s="189"/>
      <c r="J221" s="190"/>
    </row>
    <row r="222" spans="2:10" ht="16.5" hidden="1" thickBot="1">
      <c r="B222" s="139"/>
      <c r="C222" s="140"/>
      <c r="D222" s="141"/>
      <c r="E222" s="136"/>
      <c r="F222" s="137"/>
      <c r="G222" s="143"/>
      <c r="H222" s="188"/>
      <c r="I222" s="189"/>
      <c r="J222" s="190"/>
    </row>
    <row r="223" spans="2:10" ht="16.5" hidden="1" thickBot="1">
      <c r="B223" s="139"/>
      <c r="C223" s="140"/>
      <c r="D223" s="141"/>
      <c r="E223" s="136"/>
      <c r="F223" s="137"/>
      <c r="G223" s="143"/>
      <c r="H223" s="188"/>
      <c r="I223" s="189"/>
      <c r="J223" s="190"/>
    </row>
    <row r="224" spans="2:10" ht="16.5" hidden="1" thickBot="1">
      <c r="B224" s="139"/>
      <c r="C224" s="140"/>
      <c r="D224" s="141"/>
      <c r="E224" s="136"/>
      <c r="F224" s="137"/>
      <c r="G224" s="143"/>
      <c r="H224" s="188"/>
      <c r="I224" s="189"/>
      <c r="J224" s="190"/>
    </row>
    <row r="225" spans="2:10" ht="16.5" hidden="1" thickBot="1">
      <c r="B225" s="139"/>
      <c r="C225" s="141"/>
      <c r="D225" s="141"/>
      <c r="E225" s="136"/>
      <c r="F225" s="144"/>
      <c r="G225" s="145"/>
      <c r="H225" s="194"/>
      <c r="I225" s="189"/>
      <c r="J225" s="195"/>
    </row>
    <row r="226" spans="2:10" ht="16.5" hidden="1" thickBot="1">
      <c r="B226" s="139"/>
      <c r="C226" s="141"/>
      <c r="D226" s="141"/>
      <c r="E226" s="136"/>
      <c r="F226" s="146"/>
      <c r="G226" s="147"/>
      <c r="H226" s="194"/>
      <c r="I226" s="189"/>
      <c r="J226" s="195"/>
    </row>
    <row r="227" spans="2:10" ht="16.5" hidden="1" thickBot="1">
      <c r="B227" s="148"/>
      <c r="C227" s="149"/>
      <c r="D227" s="133"/>
      <c r="E227" s="133"/>
      <c r="F227" s="150"/>
      <c r="G227" s="151"/>
      <c r="H227" s="188"/>
      <c r="I227" s="189"/>
      <c r="J227" s="190"/>
    </row>
    <row r="228" spans="2:10" ht="16.5" hidden="1" thickBot="1">
      <c r="B228" s="134"/>
      <c r="C228" s="142"/>
      <c r="D228" s="135"/>
      <c r="E228" s="136"/>
      <c r="F228" s="137"/>
      <c r="G228" s="143"/>
      <c r="H228" s="188"/>
      <c r="I228" s="189"/>
      <c r="J228" s="190"/>
    </row>
    <row r="229" spans="2:10" ht="16.5" hidden="1" thickBot="1">
      <c r="B229" s="139"/>
      <c r="C229" s="140"/>
      <c r="D229" s="141"/>
      <c r="E229" s="136"/>
      <c r="F229" s="137"/>
      <c r="G229" s="143"/>
      <c r="H229" s="188"/>
      <c r="I229" s="189"/>
      <c r="J229" s="190"/>
    </row>
    <row r="230" spans="2:10" ht="16.5" hidden="1" thickBot="1">
      <c r="B230" s="139"/>
      <c r="C230" s="140"/>
      <c r="D230" s="141"/>
      <c r="E230" s="136"/>
      <c r="F230" s="137"/>
      <c r="G230" s="143"/>
      <c r="H230" s="188"/>
      <c r="I230" s="189"/>
      <c r="J230" s="190"/>
    </row>
    <row r="231" spans="2:10" ht="16.5" hidden="1" thickBot="1">
      <c r="B231" s="139"/>
      <c r="C231" s="140"/>
      <c r="D231" s="141"/>
      <c r="E231" s="136"/>
      <c r="F231" s="137"/>
      <c r="G231" s="143"/>
      <c r="H231" s="188"/>
      <c r="I231" s="189"/>
      <c r="J231" s="190"/>
    </row>
    <row r="232" spans="2:10" ht="16.5" hidden="1" thickBot="1">
      <c r="B232" s="139"/>
      <c r="C232" s="140"/>
      <c r="D232" s="141"/>
      <c r="E232" s="136"/>
      <c r="F232" s="137"/>
      <c r="G232" s="143"/>
      <c r="H232" s="188"/>
      <c r="I232" s="189"/>
      <c r="J232" s="190"/>
    </row>
    <row r="233" spans="2:10" ht="16.5" hidden="1" thickBot="1">
      <c r="B233" s="139"/>
      <c r="C233" s="141"/>
      <c r="D233" s="141"/>
      <c r="E233" s="136"/>
      <c r="F233" s="144"/>
      <c r="G233" s="145"/>
      <c r="H233" s="194"/>
      <c r="I233" s="189"/>
      <c r="J233" s="195"/>
    </row>
    <row r="234" spans="2:10" ht="11.25" hidden="1" customHeight="1" thickBot="1">
      <c r="B234" s="139"/>
      <c r="C234" s="141"/>
      <c r="D234" s="141"/>
      <c r="E234" s="136"/>
      <c r="F234" s="146"/>
      <c r="G234" s="147"/>
      <c r="H234" s="194"/>
      <c r="I234" s="189"/>
      <c r="J234" s="195"/>
    </row>
    <row r="235" spans="2:10" ht="16.5" hidden="1" thickBot="1">
      <c r="B235" s="148"/>
      <c r="C235" s="149"/>
      <c r="D235" s="133"/>
      <c r="E235" s="133"/>
      <c r="F235" s="150"/>
      <c r="G235" s="151"/>
      <c r="H235" s="188"/>
      <c r="I235" s="189"/>
      <c r="J235" s="190"/>
    </row>
    <row r="236" spans="2:10" ht="16.5" hidden="1" thickBot="1">
      <c r="B236" s="134"/>
      <c r="C236" s="142"/>
      <c r="D236" s="135"/>
      <c r="E236" s="136"/>
      <c r="F236" s="137"/>
      <c r="G236" s="143"/>
      <c r="H236" s="188"/>
      <c r="I236" s="189"/>
      <c r="J236" s="190"/>
    </row>
    <row r="237" spans="2:10" ht="16.5" hidden="1" thickBot="1">
      <c r="B237" s="139"/>
      <c r="C237" s="140"/>
      <c r="D237" s="141"/>
      <c r="E237" s="136"/>
      <c r="F237" s="137"/>
      <c r="G237" s="143"/>
      <c r="H237" s="188"/>
      <c r="I237" s="189"/>
      <c r="J237" s="190"/>
    </row>
    <row r="238" spans="2:10" ht="16.5" hidden="1" thickBot="1">
      <c r="B238" s="139"/>
      <c r="C238" s="140"/>
      <c r="D238" s="141"/>
      <c r="E238" s="136"/>
      <c r="F238" s="137"/>
      <c r="G238" s="143"/>
      <c r="H238" s="188"/>
      <c r="I238" s="189"/>
      <c r="J238" s="190"/>
    </row>
    <row r="239" spans="2:10" ht="16.5" hidden="1" thickBot="1">
      <c r="B239" s="139"/>
      <c r="C239" s="140"/>
      <c r="D239" s="141"/>
      <c r="E239" s="136"/>
      <c r="F239" s="137"/>
      <c r="G239" s="143"/>
      <c r="H239" s="188"/>
      <c r="I239" s="189"/>
      <c r="J239" s="190"/>
    </row>
    <row r="240" spans="2:10" ht="16.5" hidden="1" thickBot="1">
      <c r="B240" s="139"/>
      <c r="C240" s="140"/>
      <c r="D240" s="141"/>
      <c r="E240" s="136"/>
      <c r="F240" s="137"/>
      <c r="G240" s="143"/>
      <c r="H240" s="188"/>
      <c r="I240" s="189"/>
      <c r="J240" s="190"/>
    </row>
    <row r="241" spans="2:10" ht="16.5" hidden="1" thickBot="1">
      <c r="B241" s="139"/>
      <c r="C241" s="141"/>
      <c r="D241" s="141"/>
      <c r="E241" s="136"/>
      <c r="F241" s="144"/>
      <c r="G241" s="145"/>
      <c r="H241" s="194"/>
      <c r="I241" s="189"/>
      <c r="J241" s="195"/>
    </row>
    <row r="242" spans="2:10" ht="16.5" hidden="1" thickBot="1">
      <c r="B242" s="139"/>
      <c r="C242" s="141"/>
      <c r="D242" s="141"/>
      <c r="E242" s="136"/>
      <c r="F242" s="146"/>
      <c r="G242" s="147"/>
      <c r="H242" s="194"/>
      <c r="I242" s="189"/>
      <c r="J242" s="195"/>
    </row>
    <row r="243" spans="2:10" ht="16.5" hidden="1" thickBot="1">
      <c r="B243" s="148"/>
      <c r="C243" s="149"/>
      <c r="D243" s="133"/>
      <c r="E243" s="133"/>
      <c r="F243" s="150"/>
      <c r="G243" s="151"/>
      <c r="H243" s="188"/>
      <c r="I243" s="189"/>
      <c r="J243" s="190"/>
    </row>
    <row r="244" spans="2:10" ht="16.5" hidden="1" thickBot="1">
      <c r="B244" s="134"/>
      <c r="C244" s="142"/>
      <c r="D244" s="135"/>
      <c r="E244" s="136"/>
      <c r="F244" s="137"/>
      <c r="G244" s="143"/>
      <c r="H244" s="188"/>
      <c r="I244" s="189"/>
      <c r="J244" s="190"/>
    </row>
    <row r="245" spans="2:10" ht="16.5" hidden="1" thickBot="1">
      <c r="B245" s="139"/>
      <c r="C245" s="140"/>
      <c r="D245" s="141"/>
      <c r="E245" s="136"/>
      <c r="F245" s="137"/>
      <c r="G245" s="143"/>
      <c r="H245" s="188"/>
      <c r="I245" s="189"/>
      <c r="J245" s="190"/>
    </row>
    <row r="246" spans="2:10" ht="16.5" hidden="1" thickBot="1">
      <c r="B246" s="139"/>
      <c r="C246" s="140"/>
      <c r="D246" s="141"/>
      <c r="E246" s="136"/>
      <c r="F246" s="137"/>
      <c r="G246" s="143"/>
      <c r="H246" s="188"/>
      <c r="I246" s="189"/>
      <c r="J246" s="190"/>
    </row>
    <row r="247" spans="2:10" ht="16.5" hidden="1" thickBot="1">
      <c r="B247" s="139"/>
      <c r="C247" s="140"/>
      <c r="D247" s="141"/>
      <c r="E247" s="136"/>
      <c r="F247" s="137"/>
      <c r="G247" s="143"/>
      <c r="H247" s="188"/>
      <c r="I247" s="189"/>
      <c r="J247" s="190"/>
    </row>
    <row r="248" spans="2:10" ht="16.5" hidden="1" thickBot="1">
      <c r="B248" s="139"/>
      <c r="C248" s="140"/>
      <c r="D248" s="141"/>
      <c r="E248" s="136"/>
      <c r="F248" s="137"/>
      <c r="G248" s="143"/>
      <c r="H248" s="188"/>
      <c r="I248" s="189"/>
      <c r="J248" s="190"/>
    </row>
    <row r="249" spans="2:10" ht="16.5" hidden="1" thickBot="1">
      <c r="B249" s="139"/>
      <c r="C249" s="141"/>
      <c r="D249" s="141"/>
      <c r="E249" s="136"/>
      <c r="F249" s="144"/>
      <c r="G249" s="145"/>
      <c r="H249" s="194"/>
      <c r="I249" s="189"/>
      <c r="J249" s="195"/>
    </row>
    <row r="250" spans="2:10" ht="16.5" hidden="1" thickBot="1">
      <c r="B250" s="139"/>
      <c r="C250" s="141"/>
      <c r="D250" s="141"/>
      <c r="E250" s="136"/>
      <c r="F250" s="146"/>
      <c r="G250" s="147"/>
      <c r="H250" s="194"/>
      <c r="I250" s="189"/>
      <c r="J250" s="195"/>
    </row>
    <row r="251" spans="2:10" ht="16.5" hidden="1" thickBot="1">
      <c r="B251" s="176"/>
      <c r="C251" s="177"/>
      <c r="D251" s="172"/>
      <c r="E251" s="172"/>
      <c r="F251" s="178"/>
      <c r="G251" s="175"/>
      <c r="H251" s="185"/>
      <c r="I251" s="186"/>
      <c r="J251" s="187"/>
    </row>
    <row r="252" spans="2:10" ht="20.25" thickTop="1" thickBot="1">
      <c r="B252" s="686" t="s">
        <v>589</v>
      </c>
      <c r="C252" s="687"/>
      <c r="D252" s="687"/>
      <c r="E252" s="687"/>
      <c r="F252" s="687"/>
      <c r="G252" s="687"/>
      <c r="H252" s="687"/>
      <c r="I252" s="687"/>
      <c r="J252" s="507">
        <f>SUM(J11:J251)</f>
        <v>22420064131.786488</v>
      </c>
    </row>
    <row r="253" spans="2:10" ht="16.5" thickTop="1">
      <c r="B253" s="129"/>
      <c r="C253" s="126"/>
      <c r="D253" s="126"/>
      <c r="E253" s="126"/>
      <c r="F253" s="127"/>
      <c r="G253" s="130"/>
      <c r="H253" s="196"/>
      <c r="I253" s="197"/>
      <c r="J253" s="196"/>
    </row>
    <row r="254" spans="2:10" ht="15.75">
      <c r="B254" s="129"/>
      <c r="C254" s="126"/>
      <c r="D254" s="126"/>
      <c r="E254" s="126"/>
      <c r="F254" s="127"/>
      <c r="G254" s="130"/>
      <c r="H254" s="196"/>
      <c r="I254" s="197"/>
      <c r="J254" s="196"/>
    </row>
    <row r="255" spans="2:10" ht="15.75">
      <c r="B255" s="131"/>
      <c r="C255" s="123"/>
      <c r="D255" s="126"/>
      <c r="E255" s="126"/>
      <c r="F255" s="127"/>
      <c r="G255" s="130"/>
      <c r="H255" s="196"/>
      <c r="I255" s="197"/>
      <c r="J255" s="196"/>
    </row>
    <row r="256" spans="2:10" ht="15.75">
      <c r="B256" s="129"/>
      <c r="C256" s="126"/>
      <c r="D256" s="126"/>
      <c r="E256" s="126"/>
      <c r="F256" s="127"/>
      <c r="G256" s="130"/>
      <c r="H256" s="196"/>
      <c r="I256" s="197"/>
      <c r="J256" s="196"/>
    </row>
    <row r="257" spans="2:10" ht="15.75">
      <c r="B257" s="129"/>
      <c r="C257" s="126"/>
      <c r="D257" s="126"/>
      <c r="E257" s="126"/>
      <c r="F257" s="127"/>
      <c r="G257" s="130"/>
      <c r="H257" s="196"/>
      <c r="I257" s="197"/>
      <c r="J257" s="196"/>
    </row>
    <row r="258" spans="2:10" ht="15.75">
      <c r="B258" s="129"/>
      <c r="C258" s="126"/>
      <c r="D258" s="126"/>
      <c r="E258" s="126"/>
      <c r="F258" s="127"/>
      <c r="G258" s="130"/>
      <c r="H258" s="196"/>
      <c r="I258" s="197"/>
      <c r="J258" s="196"/>
    </row>
    <row r="259" spans="2:10" ht="15.75">
      <c r="B259" s="129"/>
      <c r="C259" s="126"/>
      <c r="D259" s="126"/>
      <c r="E259" s="126"/>
      <c r="F259" s="127"/>
      <c r="G259" s="130"/>
      <c r="H259" s="196"/>
      <c r="I259" s="197"/>
      <c r="J259" s="196"/>
    </row>
    <row r="260" spans="2:10" ht="15.75">
      <c r="B260" s="129"/>
      <c r="C260" s="126"/>
      <c r="D260" s="126"/>
      <c r="E260" s="126"/>
      <c r="F260" s="127"/>
      <c r="G260" s="130"/>
      <c r="H260" s="196"/>
      <c r="I260" s="197"/>
      <c r="J260" s="196"/>
    </row>
    <row r="261" spans="2:10" ht="15.75">
      <c r="B261" s="129"/>
      <c r="C261" s="126"/>
      <c r="D261" s="126"/>
      <c r="E261" s="126"/>
      <c r="F261" s="127"/>
      <c r="G261" s="130"/>
      <c r="H261" s="196"/>
      <c r="I261" s="197"/>
      <c r="J261" s="196"/>
    </row>
    <row r="262" spans="2:10" ht="15.75">
      <c r="B262" s="129"/>
      <c r="C262" s="126"/>
      <c r="D262" s="126"/>
      <c r="E262" s="126"/>
      <c r="F262" s="127"/>
      <c r="G262" s="130"/>
      <c r="H262" s="196"/>
      <c r="I262" s="197"/>
      <c r="J262" s="196"/>
    </row>
    <row r="263" spans="2:10" ht="15.75">
      <c r="B263" s="131"/>
      <c r="C263" s="123"/>
      <c r="D263" s="123"/>
      <c r="E263" s="126"/>
      <c r="F263" s="127"/>
      <c r="G263" s="130"/>
      <c r="H263" s="196"/>
      <c r="I263" s="197"/>
      <c r="J263" s="196"/>
    </row>
    <row r="264" spans="2:10" ht="15.75">
      <c r="B264" s="129"/>
      <c r="C264" s="126"/>
      <c r="D264" s="126"/>
      <c r="E264" s="126"/>
      <c r="F264" s="127"/>
      <c r="G264" s="130"/>
      <c r="H264" s="196"/>
      <c r="I264" s="197"/>
      <c r="J264" s="196"/>
    </row>
    <row r="265" spans="2:10" ht="15.75">
      <c r="B265" s="129"/>
      <c r="C265" s="126"/>
      <c r="D265" s="126"/>
      <c r="E265" s="126"/>
      <c r="F265" s="127"/>
      <c r="G265" s="130"/>
      <c r="H265" s="196"/>
      <c r="I265" s="197"/>
      <c r="J265" s="196"/>
    </row>
    <row r="266" spans="2:10" ht="15.75">
      <c r="B266" s="129"/>
      <c r="C266" s="126"/>
      <c r="D266" s="126"/>
      <c r="E266" s="126"/>
      <c r="F266" s="127"/>
      <c r="G266" s="130"/>
      <c r="H266" s="196"/>
      <c r="I266" s="197"/>
      <c r="J266" s="196"/>
    </row>
    <row r="267" spans="2:10" ht="15.75">
      <c r="B267" s="129"/>
      <c r="C267" s="126"/>
      <c r="D267" s="126"/>
      <c r="E267" s="126"/>
      <c r="F267" s="127"/>
      <c r="G267" s="130"/>
      <c r="H267" s="196"/>
      <c r="I267" s="197"/>
      <c r="J267" s="196"/>
    </row>
    <row r="268" spans="2:10" ht="15.75">
      <c r="B268" s="129"/>
      <c r="C268" s="126"/>
      <c r="D268" s="126"/>
      <c r="E268" s="126"/>
      <c r="F268" s="127"/>
      <c r="G268" s="130"/>
      <c r="H268" s="196"/>
      <c r="I268" s="197"/>
      <c r="J268" s="196"/>
    </row>
    <row r="269" spans="2:10" ht="15.75">
      <c r="B269" s="129"/>
      <c r="C269" s="126"/>
      <c r="D269" s="126"/>
      <c r="E269" s="126"/>
      <c r="F269" s="127"/>
      <c r="G269" s="130"/>
      <c r="H269" s="196"/>
      <c r="I269" s="197"/>
      <c r="J269" s="196"/>
    </row>
    <row r="270" spans="2:10" ht="15.75">
      <c r="B270" s="129"/>
      <c r="C270" s="126"/>
      <c r="D270" s="126"/>
      <c r="E270" s="126"/>
      <c r="F270" s="127"/>
      <c r="G270" s="130"/>
      <c r="H270" s="196"/>
      <c r="I270" s="197"/>
      <c r="J270" s="196"/>
    </row>
    <row r="271" spans="2:10" ht="15.75">
      <c r="B271" s="129"/>
      <c r="C271" s="126"/>
      <c r="D271" s="126"/>
      <c r="E271" s="126"/>
      <c r="F271" s="127"/>
      <c r="G271" s="130"/>
      <c r="H271" s="196"/>
      <c r="I271" s="197"/>
      <c r="J271" s="196"/>
    </row>
    <row r="272" spans="2:10" ht="15.75">
      <c r="B272" s="129"/>
      <c r="C272" s="126"/>
      <c r="D272" s="126"/>
      <c r="E272" s="126"/>
      <c r="F272" s="127"/>
      <c r="G272" s="130"/>
      <c r="H272" s="196"/>
      <c r="I272" s="197"/>
      <c r="J272" s="196"/>
    </row>
  </sheetData>
  <mergeCells count="9">
    <mergeCell ref="J5:J6"/>
    <mergeCell ref="B2:J3"/>
    <mergeCell ref="B252:I252"/>
    <mergeCell ref="B5:B6"/>
    <mergeCell ref="C5:E6"/>
    <mergeCell ref="F5:F6"/>
    <mergeCell ref="G5:G6"/>
    <mergeCell ref="I5:I6"/>
    <mergeCell ref="H5:H6"/>
  </mergeCells>
  <pageMargins left="0.70866141732283472" right="0.70866141732283472" top="0.74803149606299213" bottom="0.74803149606299213" header="0.31496062992125984" footer="0.31496062992125984"/>
  <pageSetup scale="49" orientation="portrait" r:id="rId1"/>
  <rowBreaks count="1" manualBreakCount="1">
    <brk id="84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BS28"/>
  <sheetViews>
    <sheetView view="pageBreakPreview" zoomScale="88" zoomScaleSheetLayoutView="88" workbookViewId="0">
      <selection activeCell="B22" sqref="B22"/>
    </sheetView>
  </sheetViews>
  <sheetFormatPr defaultRowHeight="15.75"/>
  <cols>
    <col min="1" max="1" width="1.7109375" style="15" customWidth="1"/>
    <col min="2" max="2" width="6.28515625" style="20" customWidth="1"/>
    <col min="3" max="3" width="61.7109375" style="15" customWidth="1"/>
    <col min="4" max="4" width="33.28515625" style="15" customWidth="1"/>
    <col min="5" max="5" width="2" style="15" customWidth="1"/>
    <col min="6" max="6" width="9.140625" style="15"/>
    <col min="7" max="7" width="17.28515625" style="15" bestFit="1" customWidth="1"/>
    <col min="8" max="8" width="10" style="15" customWidth="1"/>
    <col min="9" max="16384" width="9.140625" style="15"/>
  </cols>
  <sheetData>
    <row r="1" spans="1:71" s="10" customFormat="1" ht="18.75">
      <c r="B1" s="11" t="s">
        <v>47</v>
      </c>
      <c r="C1" s="1"/>
      <c r="D1" s="1" t="s">
        <v>961</v>
      </c>
      <c r="E1" s="2"/>
      <c r="F1" s="3"/>
      <c r="G1" s="3"/>
      <c r="H1" s="4"/>
      <c r="I1" s="5"/>
      <c r="J1" s="5"/>
      <c r="K1" s="5"/>
      <c r="L1" s="5"/>
      <c r="M1" s="4"/>
      <c r="N1" s="4"/>
      <c r="O1" s="4"/>
      <c r="P1" s="6"/>
      <c r="Q1" s="6"/>
      <c r="R1" s="6"/>
      <c r="S1" s="6"/>
      <c r="T1" s="7"/>
      <c r="U1" s="8"/>
      <c r="V1" s="9"/>
      <c r="W1" s="8"/>
      <c r="X1" s="9"/>
      <c r="Y1" s="8"/>
      <c r="Z1" s="9"/>
      <c r="AA1" s="8"/>
      <c r="AB1" s="6"/>
      <c r="AC1" s="6"/>
      <c r="AD1" s="7"/>
      <c r="AE1" s="8"/>
      <c r="AF1" s="9"/>
      <c r="AG1" s="8"/>
      <c r="AH1" s="9"/>
      <c r="AI1" s="8"/>
      <c r="AJ1" s="9"/>
      <c r="AK1" s="8"/>
      <c r="AL1" s="6"/>
      <c r="AM1" s="6"/>
      <c r="AN1" s="7"/>
      <c r="AO1" s="8"/>
      <c r="AP1" s="9"/>
      <c r="AQ1" s="8"/>
      <c r="AR1" s="9"/>
      <c r="AS1" s="8"/>
      <c r="AT1" s="9"/>
      <c r="AU1" s="8"/>
      <c r="AV1" s="6"/>
      <c r="AW1" s="6"/>
      <c r="AX1" s="7"/>
      <c r="AY1" s="8"/>
      <c r="AZ1" s="9"/>
      <c r="BA1" s="8"/>
      <c r="BB1" s="9"/>
      <c r="BC1" s="8"/>
      <c r="BD1" s="9"/>
      <c r="BE1" s="8"/>
      <c r="BF1" s="6"/>
      <c r="BG1" s="6"/>
      <c r="BH1" s="7"/>
      <c r="BI1" s="8"/>
      <c r="BJ1" s="9"/>
      <c r="BK1" s="8"/>
      <c r="BL1" s="9"/>
      <c r="BM1" s="8"/>
      <c r="BN1" s="9"/>
      <c r="BO1" s="8"/>
      <c r="BP1" s="4"/>
      <c r="BQ1" s="4"/>
      <c r="BR1" s="4"/>
      <c r="BS1" s="4"/>
    </row>
    <row r="2" spans="1:71">
      <c r="B2" s="13" t="s">
        <v>48</v>
      </c>
      <c r="C2" s="13"/>
      <c r="D2" s="14" t="s">
        <v>962</v>
      </c>
      <c r="E2" s="14"/>
      <c r="G2" s="16"/>
      <c r="H2" s="16"/>
      <c r="I2" s="16"/>
      <c r="J2" s="16"/>
    </row>
    <row r="3" spans="1:71" s="10" customFormat="1" ht="18.75">
      <c r="B3" s="17" t="s">
        <v>49</v>
      </c>
      <c r="C3" s="17"/>
      <c r="D3" s="17" t="s">
        <v>965</v>
      </c>
      <c r="E3" s="18"/>
      <c r="F3" s="3"/>
      <c r="G3" s="3"/>
      <c r="H3" s="4"/>
      <c r="I3" s="5"/>
      <c r="J3" s="5"/>
      <c r="K3" s="5"/>
      <c r="L3" s="5"/>
      <c r="M3" s="4"/>
      <c r="N3" s="4"/>
      <c r="O3" s="4"/>
      <c r="P3" s="6"/>
      <c r="Q3" s="6"/>
      <c r="R3" s="6"/>
      <c r="S3" s="6"/>
      <c r="T3" s="7"/>
      <c r="U3" s="8"/>
      <c r="V3" s="9"/>
      <c r="W3" s="8"/>
      <c r="X3" s="9"/>
      <c r="Y3" s="8"/>
      <c r="Z3" s="9"/>
      <c r="AA3" s="8"/>
      <c r="AB3" s="6"/>
      <c r="AC3" s="6"/>
      <c r="AD3" s="7"/>
      <c r="AE3" s="8"/>
      <c r="AF3" s="9"/>
      <c r="AG3" s="8"/>
      <c r="AH3" s="9"/>
      <c r="AI3" s="8"/>
      <c r="AJ3" s="9"/>
      <c r="AK3" s="8"/>
      <c r="AL3" s="6"/>
      <c r="AM3" s="6"/>
      <c r="AN3" s="7"/>
      <c r="AO3" s="8"/>
      <c r="AP3" s="9"/>
      <c r="AQ3" s="8"/>
      <c r="AR3" s="9"/>
      <c r="AS3" s="8"/>
      <c r="AT3" s="9"/>
      <c r="AU3" s="8"/>
      <c r="AV3" s="6"/>
      <c r="AW3" s="6"/>
      <c r="AX3" s="7"/>
      <c r="AY3" s="8"/>
      <c r="AZ3" s="9"/>
      <c r="BA3" s="8"/>
      <c r="BB3" s="9"/>
      <c r="BC3" s="8"/>
      <c r="BD3" s="9"/>
      <c r="BE3" s="8"/>
      <c r="BF3" s="6"/>
      <c r="BG3" s="6"/>
      <c r="BH3" s="7"/>
      <c r="BI3" s="8"/>
      <c r="BJ3" s="9"/>
      <c r="BK3" s="8"/>
      <c r="BL3" s="9"/>
      <c r="BM3" s="8"/>
      <c r="BN3" s="9"/>
      <c r="BO3" s="8"/>
      <c r="BP3" s="4"/>
      <c r="BQ3" s="4"/>
      <c r="BR3" s="4"/>
      <c r="BS3" s="4"/>
    </row>
    <row r="4" spans="1:71" s="10" customFormat="1" ht="18.75">
      <c r="B4" s="19" t="s">
        <v>50</v>
      </c>
      <c r="C4" s="19"/>
      <c r="D4" s="19" t="s">
        <v>963</v>
      </c>
      <c r="E4" s="18"/>
      <c r="F4" s="3"/>
      <c r="G4" s="3"/>
      <c r="H4" s="4"/>
      <c r="I4" s="5"/>
      <c r="J4" s="5"/>
      <c r="K4" s="5"/>
      <c r="L4" s="5"/>
      <c r="M4" s="4"/>
      <c r="N4" s="4"/>
      <c r="O4" s="4"/>
      <c r="P4" s="6"/>
      <c r="Q4" s="6"/>
      <c r="R4" s="6"/>
      <c r="S4" s="6"/>
      <c r="T4" s="7"/>
      <c r="U4" s="8"/>
      <c r="V4" s="9"/>
      <c r="W4" s="8"/>
      <c r="X4" s="9"/>
      <c r="Y4" s="8"/>
      <c r="Z4" s="9"/>
      <c r="AA4" s="8"/>
      <c r="AB4" s="6"/>
      <c r="AC4" s="6"/>
      <c r="AD4" s="7"/>
      <c r="AE4" s="8"/>
      <c r="AF4" s="9"/>
      <c r="AG4" s="8"/>
      <c r="AH4" s="9"/>
      <c r="AI4" s="8"/>
      <c r="AJ4" s="9"/>
      <c r="AK4" s="8"/>
      <c r="AL4" s="6"/>
      <c r="AM4" s="6"/>
      <c r="AN4" s="7"/>
      <c r="AO4" s="8"/>
      <c r="AP4" s="9"/>
      <c r="AQ4" s="8"/>
      <c r="AR4" s="9"/>
      <c r="AS4" s="8"/>
      <c r="AT4" s="9"/>
      <c r="AU4" s="8"/>
      <c r="AV4" s="6"/>
      <c r="AW4" s="6"/>
      <c r="AX4" s="7"/>
      <c r="AY4" s="8"/>
      <c r="AZ4" s="9"/>
      <c r="BA4" s="8"/>
      <c r="BB4" s="9"/>
      <c r="BC4" s="8"/>
      <c r="BD4" s="9"/>
      <c r="BE4" s="8"/>
      <c r="BF4" s="6"/>
      <c r="BG4" s="6"/>
      <c r="BH4" s="7"/>
      <c r="BI4" s="8"/>
      <c r="BJ4" s="9"/>
      <c r="BK4" s="8"/>
      <c r="BL4" s="9"/>
      <c r="BM4" s="8"/>
      <c r="BN4" s="9"/>
      <c r="BO4" s="8"/>
      <c r="BP4" s="4"/>
      <c r="BQ4" s="4"/>
      <c r="BR4" s="4"/>
      <c r="BS4" s="4"/>
    </row>
    <row r="5" spans="1:71" s="10" customFormat="1" ht="18.75">
      <c r="B5" s="19" t="s">
        <v>51</v>
      </c>
      <c r="C5" s="19"/>
      <c r="D5" s="19"/>
      <c r="E5" s="18"/>
      <c r="F5" s="3"/>
      <c r="G5" s="3"/>
      <c r="H5" s="4"/>
      <c r="I5" s="5"/>
      <c r="J5" s="5"/>
      <c r="K5" s="5"/>
      <c r="L5" s="5"/>
      <c r="M5" s="4"/>
      <c r="N5" s="4"/>
      <c r="O5" s="4"/>
      <c r="P5" s="6"/>
      <c r="Q5" s="6"/>
      <c r="R5" s="6"/>
      <c r="S5" s="6"/>
      <c r="T5" s="7"/>
      <c r="U5" s="8"/>
      <c r="V5" s="9"/>
      <c r="W5" s="8"/>
      <c r="X5" s="9"/>
      <c r="Y5" s="8"/>
      <c r="Z5" s="9"/>
      <c r="AA5" s="8"/>
      <c r="AB5" s="6"/>
      <c r="AC5" s="6"/>
      <c r="AD5" s="7"/>
      <c r="AE5" s="8"/>
      <c r="AF5" s="9"/>
      <c r="AG5" s="8"/>
      <c r="AH5" s="9"/>
      <c r="AI5" s="8"/>
      <c r="AJ5" s="9"/>
      <c r="AK5" s="8"/>
      <c r="AL5" s="6"/>
      <c r="AM5" s="6"/>
      <c r="AN5" s="7"/>
      <c r="AO5" s="8"/>
      <c r="AP5" s="9"/>
      <c r="AQ5" s="8"/>
      <c r="AR5" s="9"/>
      <c r="AS5" s="8"/>
      <c r="AT5" s="9"/>
      <c r="AU5" s="8"/>
      <c r="AV5" s="6"/>
      <c r="AW5" s="6"/>
      <c r="AX5" s="7"/>
      <c r="AY5" s="8"/>
      <c r="AZ5" s="9"/>
      <c r="BA5" s="8"/>
      <c r="BB5" s="9"/>
      <c r="BC5" s="8"/>
      <c r="BD5" s="9"/>
      <c r="BE5" s="8"/>
      <c r="BF5" s="6"/>
      <c r="BG5" s="6"/>
      <c r="BH5" s="7"/>
      <c r="BI5" s="8"/>
      <c r="BJ5" s="9"/>
      <c r="BK5" s="8"/>
      <c r="BL5" s="9"/>
      <c r="BM5" s="8"/>
      <c r="BN5" s="9"/>
      <c r="BO5" s="8"/>
      <c r="BP5" s="4"/>
      <c r="BQ5" s="4"/>
      <c r="BR5" s="4"/>
      <c r="BS5" s="4"/>
    </row>
    <row r="6" spans="1:71" ht="21.75" customHeight="1">
      <c r="B6" s="692" t="s">
        <v>52</v>
      </c>
      <c r="C6" s="692"/>
      <c r="D6" s="692"/>
    </row>
    <row r="7" spans="1:71" ht="5.25" customHeight="1" thickBot="1"/>
    <row r="8" spans="1:71" ht="38.25" customHeight="1" thickTop="1" thickBot="1">
      <c r="A8" s="635"/>
      <c r="B8" s="630" t="s">
        <v>53</v>
      </c>
      <c r="C8" s="631" t="s">
        <v>54</v>
      </c>
      <c r="D8" s="632" t="s">
        <v>55</v>
      </c>
      <c r="E8" s="634"/>
    </row>
    <row r="9" spans="1:71" s="259" customFormat="1" ht="16.5" thickTop="1">
      <c r="A9" s="635"/>
      <c r="B9" s="256"/>
      <c r="C9" s="257"/>
      <c r="D9" s="258"/>
      <c r="E9" s="634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</row>
    <row r="10" spans="1:71" s="263" customFormat="1">
      <c r="A10" s="635"/>
      <c r="B10" s="260" t="s">
        <v>56</v>
      </c>
      <c r="C10" s="261" t="s">
        <v>590</v>
      </c>
      <c r="D10" s="262">
        <f>RAB!J84</f>
        <v>5764048324.7472649</v>
      </c>
      <c r="E10" s="634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</row>
    <row r="11" spans="1:71" s="263" customFormat="1">
      <c r="A11" s="635"/>
      <c r="B11" s="260"/>
      <c r="C11" s="261"/>
      <c r="D11" s="262"/>
      <c r="E11" s="634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</row>
    <row r="12" spans="1:71" s="263" customFormat="1">
      <c r="A12" s="635"/>
      <c r="B12" s="260" t="s">
        <v>58</v>
      </c>
      <c r="C12" s="261" t="s">
        <v>591</v>
      </c>
      <c r="D12" s="262">
        <f>RAB!J137</f>
        <v>9426752903.5066853</v>
      </c>
      <c r="E12" s="634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</row>
    <row r="13" spans="1:71" s="263" customFormat="1">
      <c r="A13" s="635"/>
      <c r="B13" s="260"/>
      <c r="C13" s="261"/>
      <c r="D13" s="262"/>
      <c r="E13" s="634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</row>
    <row r="14" spans="1:71" s="263" customFormat="1">
      <c r="A14" s="635"/>
      <c r="B14" s="260" t="s">
        <v>59</v>
      </c>
      <c r="C14" s="261" t="s">
        <v>592</v>
      </c>
      <c r="D14" s="262">
        <f>RAB!J194</f>
        <v>6477290556.2046204</v>
      </c>
      <c r="E14" s="634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</row>
    <row r="15" spans="1:71" s="263" customFormat="1">
      <c r="A15" s="635"/>
      <c r="B15" s="260"/>
      <c r="C15" s="261"/>
      <c r="D15" s="262"/>
      <c r="E15" s="634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</row>
    <row r="16" spans="1:71" s="263" customFormat="1">
      <c r="A16" s="635"/>
      <c r="B16" s="260" t="s">
        <v>60</v>
      </c>
      <c r="C16" s="261" t="s">
        <v>593</v>
      </c>
      <c r="D16" s="262">
        <f>RAB!J209</f>
        <v>751972347.3279146</v>
      </c>
      <c r="E16" s="634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</row>
    <row r="17" spans="1:47" s="267" customFormat="1" ht="16.5" thickBot="1">
      <c r="A17" s="635"/>
      <c r="B17" s="264"/>
      <c r="C17" s="265"/>
      <c r="D17" s="266"/>
      <c r="E17" s="634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</row>
    <row r="18" spans="1:47" ht="16.5" thickTop="1">
      <c r="A18" s="635"/>
      <c r="B18" s="693" t="s">
        <v>61</v>
      </c>
      <c r="C18" s="694"/>
      <c r="D18" s="199">
        <f>SUM(D9:D17)</f>
        <v>22420064131.786488</v>
      </c>
      <c r="E18" s="634"/>
    </row>
    <row r="19" spans="1:47" ht="6" customHeight="1">
      <c r="A19" s="635"/>
      <c r="B19" s="200"/>
      <c r="C19" s="203"/>
      <c r="D19" s="201"/>
      <c r="E19" s="634"/>
    </row>
    <row r="20" spans="1:47" ht="16.5" thickBot="1">
      <c r="A20" s="635"/>
      <c r="B20" s="695" t="s">
        <v>62</v>
      </c>
      <c r="C20" s="696"/>
      <c r="D20" s="202">
        <f>D18*10%</f>
        <v>2242006413.1786489</v>
      </c>
      <c r="E20" s="634"/>
    </row>
    <row r="21" spans="1:47" ht="48" customHeight="1" thickTop="1" thickBot="1">
      <c r="B21" s="697" t="s">
        <v>974</v>
      </c>
      <c r="C21" s="698"/>
      <c r="D21" s="633">
        <f>SUM(D18:D20)</f>
        <v>24662070544.965137</v>
      </c>
    </row>
    <row r="22" spans="1:47" ht="17.25" customHeight="1" thickTop="1"/>
    <row r="23" spans="1:47">
      <c r="D23" s="16"/>
      <c r="G23" s="16"/>
    </row>
    <row r="24" spans="1:47">
      <c r="D24" s="16"/>
    </row>
    <row r="27" spans="1:47">
      <c r="C27" s="16">
        <f>D21</f>
        <v>24662070544.965137</v>
      </c>
      <c r="D27" s="21">
        <f>C27/C28</f>
        <v>1223316.9913177153</v>
      </c>
    </row>
    <row r="28" spans="1:47">
      <c r="C28" s="15">
        <f>8496+5832+5832</f>
        <v>20160</v>
      </c>
    </row>
  </sheetData>
  <mergeCells count="4">
    <mergeCell ref="B6:D6"/>
    <mergeCell ref="B18:C18"/>
    <mergeCell ref="B20:C20"/>
    <mergeCell ref="B21:C21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BF30"/>
  <sheetViews>
    <sheetView view="pageBreakPreview" zoomScale="70" zoomScaleNormal="70" zoomScaleSheetLayoutView="70" workbookViewId="0">
      <selection activeCell="G4" sqref="G4:V5"/>
    </sheetView>
  </sheetViews>
  <sheetFormatPr defaultRowHeight="15.75"/>
  <cols>
    <col min="1" max="1" width="3.28515625" style="22" customWidth="1"/>
    <col min="2" max="2" width="6.85546875" style="22" customWidth="1"/>
    <col min="3" max="3" width="21.5703125" style="22" customWidth="1"/>
    <col min="4" max="4" width="18.42578125" style="22" customWidth="1"/>
    <col min="5" max="5" width="9" style="23" customWidth="1"/>
    <col min="6" max="6" width="34.140625" style="24" customWidth="1"/>
    <col min="7" max="16" width="9" style="25" customWidth="1"/>
    <col min="17" max="22" width="9" style="22" customWidth="1"/>
    <col min="23" max="24" width="9" style="25" customWidth="1"/>
    <col min="25" max="26" width="9" style="22" customWidth="1"/>
    <col min="27" max="28" width="9" style="25" customWidth="1"/>
    <col min="29" max="30" width="9.140625" style="22" customWidth="1"/>
    <col min="31" max="16384" width="9.140625" style="22"/>
  </cols>
  <sheetData>
    <row r="1" spans="1:58" s="10" customFormat="1" ht="18.75">
      <c r="C1" s="11" t="s">
        <v>47</v>
      </c>
      <c r="D1" s="1"/>
      <c r="E1" s="12" t="s">
        <v>961</v>
      </c>
      <c r="F1" s="2"/>
      <c r="G1" s="3"/>
      <c r="H1" s="4"/>
      <c r="I1" s="5"/>
      <c r="J1" s="5"/>
      <c r="K1" s="5"/>
      <c r="L1" s="5"/>
      <c r="M1" s="4"/>
      <c r="N1" s="4"/>
      <c r="O1" s="4"/>
      <c r="P1" s="6"/>
      <c r="Q1" s="6"/>
      <c r="R1" s="6"/>
      <c r="S1" s="6"/>
      <c r="T1" s="7"/>
      <c r="U1" s="8"/>
      <c r="V1" s="9"/>
      <c r="W1" s="4"/>
      <c r="X1" s="6"/>
      <c r="Y1" s="6"/>
      <c r="Z1" s="6"/>
      <c r="AA1" s="4"/>
      <c r="AB1" s="6"/>
      <c r="AC1" s="9"/>
      <c r="AD1" s="8"/>
      <c r="AE1" s="9"/>
      <c r="AF1" s="8"/>
      <c r="AG1" s="9"/>
      <c r="AH1" s="8"/>
      <c r="AI1" s="6"/>
      <c r="AJ1" s="6"/>
      <c r="AK1" s="7"/>
      <c r="AL1" s="8"/>
      <c r="AM1" s="9"/>
      <c r="AN1" s="8"/>
      <c r="AO1" s="9"/>
      <c r="AP1" s="8"/>
      <c r="AQ1" s="9"/>
      <c r="AR1" s="8"/>
      <c r="AS1" s="6"/>
      <c r="AT1" s="6"/>
      <c r="AU1" s="7"/>
      <c r="AV1" s="8"/>
      <c r="AW1" s="9"/>
      <c r="AX1" s="8"/>
      <c r="AY1" s="9"/>
      <c r="AZ1" s="8"/>
      <c r="BA1" s="9"/>
      <c r="BB1" s="8"/>
      <c r="BC1" s="4"/>
      <c r="BD1" s="4"/>
      <c r="BE1" s="4"/>
      <c r="BF1" s="4"/>
    </row>
    <row r="2" spans="1:58" s="10" customFormat="1" ht="18.75">
      <c r="C2" s="13" t="s">
        <v>48</v>
      </c>
      <c r="D2" s="13"/>
      <c r="E2" s="14" t="s">
        <v>962</v>
      </c>
      <c r="F2" s="2"/>
      <c r="G2" s="3"/>
      <c r="H2" s="4"/>
      <c r="I2" s="5"/>
      <c r="J2" s="5"/>
      <c r="K2" s="5"/>
      <c r="L2" s="5"/>
      <c r="M2" s="4"/>
      <c r="N2" s="4"/>
      <c r="O2" s="4"/>
      <c r="P2" s="6"/>
      <c r="Q2" s="6"/>
      <c r="R2" s="6"/>
      <c r="S2" s="6"/>
      <c r="T2" s="7"/>
      <c r="U2" s="8"/>
      <c r="V2" s="9"/>
      <c r="W2" s="4"/>
      <c r="X2" s="6"/>
      <c r="Y2" s="6"/>
      <c r="Z2" s="6"/>
      <c r="AA2" s="4"/>
      <c r="AB2" s="6"/>
      <c r="AC2" s="9"/>
      <c r="AD2" s="8"/>
      <c r="AE2" s="9"/>
      <c r="AF2" s="8"/>
      <c r="AG2" s="9"/>
      <c r="AH2" s="8"/>
      <c r="AI2" s="6"/>
      <c r="AJ2" s="6"/>
      <c r="AK2" s="7"/>
      <c r="AL2" s="8"/>
      <c r="AM2" s="9"/>
      <c r="AN2" s="8"/>
      <c r="AO2" s="9"/>
      <c r="AP2" s="8"/>
      <c r="AQ2" s="9"/>
      <c r="AR2" s="8"/>
      <c r="AS2" s="6"/>
      <c r="AT2" s="6"/>
      <c r="AU2" s="7"/>
      <c r="AV2" s="8"/>
      <c r="AW2" s="9"/>
      <c r="AX2" s="8"/>
      <c r="AY2" s="9"/>
      <c r="AZ2" s="8"/>
      <c r="BA2" s="9"/>
      <c r="BB2" s="8"/>
      <c r="BC2" s="4"/>
      <c r="BD2" s="4"/>
      <c r="BE2" s="4"/>
      <c r="BF2" s="4"/>
    </row>
    <row r="3" spans="1:58" s="10" customFormat="1" ht="18.75">
      <c r="C3" s="17" t="s">
        <v>49</v>
      </c>
      <c r="D3" s="17"/>
      <c r="E3" s="17" t="s">
        <v>64</v>
      </c>
      <c r="F3" s="2"/>
      <c r="G3" s="3"/>
      <c r="H3" s="4"/>
      <c r="I3" s="5"/>
      <c r="J3" s="5"/>
      <c r="K3" s="5"/>
      <c r="L3" s="5"/>
      <c r="M3" s="4"/>
      <c r="N3" s="4"/>
      <c r="O3" s="4"/>
      <c r="P3" s="6"/>
      <c r="Q3" s="6"/>
      <c r="R3" s="6"/>
      <c r="S3" s="6"/>
      <c r="T3" s="7"/>
      <c r="U3" s="8"/>
      <c r="V3" s="9"/>
      <c r="W3" s="4"/>
      <c r="X3" s="6"/>
      <c r="Y3" s="6"/>
      <c r="Z3" s="6"/>
      <c r="AA3" s="4"/>
      <c r="AB3" s="6"/>
      <c r="AC3" s="9"/>
      <c r="AD3" s="8"/>
      <c r="AE3" s="9"/>
      <c r="AF3" s="8"/>
      <c r="AG3" s="9"/>
      <c r="AH3" s="8"/>
      <c r="AI3" s="6"/>
      <c r="AJ3" s="6"/>
      <c r="AK3" s="7"/>
      <c r="AL3" s="8"/>
      <c r="AM3" s="9"/>
      <c r="AN3" s="8"/>
      <c r="AO3" s="9"/>
      <c r="AP3" s="8"/>
      <c r="AQ3" s="9"/>
      <c r="AR3" s="8"/>
      <c r="AS3" s="6"/>
      <c r="AT3" s="6"/>
      <c r="AU3" s="7"/>
      <c r="AV3" s="8"/>
      <c r="AW3" s="9"/>
      <c r="AX3" s="8"/>
      <c r="AY3" s="9"/>
      <c r="AZ3" s="8"/>
      <c r="BA3" s="9"/>
      <c r="BB3" s="8"/>
      <c r="BC3" s="4"/>
      <c r="BD3" s="4"/>
      <c r="BE3" s="4"/>
      <c r="BF3" s="4"/>
    </row>
    <row r="4" spans="1:58" s="10" customFormat="1" ht="18.75" customHeight="1">
      <c r="C4" s="19" t="s">
        <v>50</v>
      </c>
      <c r="D4" s="19"/>
      <c r="E4" s="19" t="s">
        <v>963</v>
      </c>
      <c r="F4" s="2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132"/>
      <c r="X4" s="132"/>
      <c r="Y4" s="132"/>
      <c r="Z4" s="132"/>
      <c r="AA4" s="132"/>
      <c r="AB4" s="132"/>
      <c r="AC4" s="9"/>
      <c r="AD4" s="8"/>
      <c r="AE4" s="9"/>
      <c r="AF4" s="8"/>
      <c r="AG4" s="9"/>
      <c r="AH4" s="8"/>
      <c r="AI4" s="6"/>
      <c r="AJ4" s="6"/>
      <c r="AK4" s="7"/>
      <c r="AL4" s="8"/>
      <c r="AM4" s="9"/>
      <c r="AN4" s="8"/>
      <c r="AO4" s="9"/>
      <c r="AP4" s="8"/>
      <c r="AQ4" s="9"/>
      <c r="AR4" s="8"/>
      <c r="AS4" s="6"/>
      <c r="AT4" s="6"/>
      <c r="AU4" s="7"/>
      <c r="AV4" s="8"/>
      <c r="AW4" s="9"/>
      <c r="AX4" s="8"/>
      <c r="AY4" s="9"/>
      <c r="AZ4" s="8"/>
      <c r="BA4" s="9"/>
      <c r="BB4" s="8"/>
      <c r="BC4" s="4"/>
      <c r="BD4" s="4"/>
      <c r="BE4" s="4"/>
      <c r="BF4" s="4"/>
    </row>
    <row r="5" spans="1:58" s="10" customFormat="1" ht="18.75" customHeight="1">
      <c r="C5" s="19" t="s">
        <v>51</v>
      </c>
      <c r="D5" s="19"/>
      <c r="E5" s="19"/>
      <c r="F5" s="2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132"/>
      <c r="X5" s="132"/>
      <c r="Y5" s="132"/>
      <c r="Z5" s="132"/>
      <c r="AA5" s="132"/>
      <c r="AB5" s="132"/>
      <c r="AC5" s="9"/>
      <c r="AD5" s="8"/>
      <c r="AE5" s="9"/>
      <c r="AF5" s="8"/>
      <c r="AG5" s="9"/>
      <c r="AH5" s="8"/>
      <c r="AI5" s="6"/>
      <c r="AJ5" s="6"/>
      <c r="AK5" s="7"/>
      <c r="AL5" s="8"/>
      <c r="AM5" s="9"/>
      <c r="AN5" s="8"/>
      <c r="AO5" s="9"/>
      <c r="AP5" s="8"/>
      <c r="AQ5" s="9"/>
      <c r="AR5" s="8"/>
      <c r="AS5" s="6"/>
      <c r="AT5" s="6"/>
      <c r="AU5" s="7"/>
      <c r="AV5" s="8"/>
      <c r="AW5" s="9"/>
      <c r="AX5" s="8"/>
      <c r="AY5" s="9"/>
      <c r="AZ5" s="8"/>
      <c r="BA5" s="9"/>
      <c r="BB5" s="8"/>
      <c r="BC5" s="4"/>
      <c r="BD5" s="4"/>
      <c r="BE5" s="4"/>
      <c r="BF5" s="4"/>
    </row>
    <row r="6" spans="1:58" ht="16.5" thickBot="1">
      <c r="AC6" s="572"/>
      <c r="AD6" s="572"/>
    </row>
    <row r="7" spans="1:58" ht="21" customHeight="1" thickTop="1">
      <c r="B7" s="714" t="s">
        <v>66</v>
      </c>
      <c r="C7" s="716" t="s">
        <v>54</v>
      </c>
      <c r="D7" s="716"/>
      <c r="E7" s="718" t="s">
        <v>67</v>
      </c>
      <c r="F7" s="720" t="s">
        <v>68</v>
      </c>
      <c r="G7" s="703" t="s">
        <v>69</v>
      </c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5"/>
    </row>
    <row r="8" spans="1:58" ht="21" thickBot="1">
      <c r="B8" s="715"/>
      <c r="C8" s="717"/>
      <c r="D8" s="717"/>
      <c r="E8" s="719"/>
      <c r="F8" s="721"/>
      <c r="G8" s="722">
        <v>1</v>
      </c>
      <c r="H8" s="723"/>
      <c r="I8" s="723"/>
      <c r="J8" s="723"/>
      <c r="K8" s="723">
        <v>2</v>
      </c>
      <c r="L8" s="723"/>
      <c r="M8" s="723"/>
      <c r="N8" s="723"/>
      <c r="O8" s="723">
        <v>3</v>
      </c>
      <c r="P8" s="723"/>
      <c r="Q8" s="723"/>
      <c r="R8" s="723"/>
      <c r="S8" s="724">
        <v>4</v>
      </c>
      <c r="T8" s="724"/>
      <c r="U8" s="724"/>
      <c r="V8" s="724"/>
      <c r="W8" s="699">
        <v>5</v>
      </c>
      <c r="X8" s="699"/>
      <c r="Y8" s="699"/>
      <c r="Z8" s="700"/>
      <c r="AA8" s="700">
        <v>6</v>
      </c>
      <c r="AB8" s="701"/>
      <c r="AC8" s="701"/>
      <c r="AD8" s="702"/>
    </row>
    <row r="9" spans="1:58" ht="7.5" customHeight="1" thickTop="1">
      <c r="B9" s="26"/>
      <c r="C9" s="27"/>
      <c r="D9" s="28"/>
      <c r="E9" s="29"/>
      <c r="F9" s="30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8"/>
      <c r="R9" s="588"/>
      <c r="S9" s="588"/>
      <c r="T9" s="588"/>
      <c r="U9" s="588"/>
      <c r="V9" s="588"/>
      <c r="W9" s="587"/>
      <c r="X9" s="587"/>
      <c r="Y9" s="588"/>
      <c r="Z9" s="589"/>
      <c r="AA9" s="587"/>
      <c r="AB9" s="587"/>
      <c r="AC9" s="588"/>
      <c r="AD9" s="577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58" ht="17.25" customHeight="1">
      <c r="B10" s="26"/>
      <c r="C10" s="34" t="s">
        <v>70</v>
      </c>
      <c r="D10" s="35"/>
      <c r="E10" s="29"/>
      <c r="F10" s="30"/>
      <c r="G10" s="582"/>
      <c r="H10" s="583"/>
      <c r="I10" s="583"/>
      <c r="J10" s="583"/>
      <c r="K10" s="583"/>
      <c r="L10" s="583"/>
      <c r="M10" s="583"/>
      <c r="N10" s="583"/>
      <c r="O10" s="583"/>
      <c r="P10" s="583"/>
      <c r="Q10" s="584"/>
      <c r="R10" s="584"/>
      <c r="S10" s="584"/>
      <c r="T10" s="584"/>
      <c r="U10" s="584"/>
      <c r="V10" s="584"/>
      <c r="W10" s="583"/>
      <c r="X10" s="583"/>
      <c r="Y10" s="584"/>
      <c r="Z10" s="585"/>
      <c r="AA10" s="583"/>
      <c r="AB10" s="583"/>
      <c r="AC10" s="32"/>
      <c r="AD10" s="590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58" s="42" customFormat="1" ht="13.5" customHeight="1">
      <c r="A11" s="33"/>
      <c r="B11" s="706">
        <v>1</v>
      </c>
      <c r="C11" s="707" t="s">
        <v>590</v>
      </c>
      <c r="D11" s="708"/>
      <c r="E11" s="711">
        <f>F11/F25*100</f>
        <v>25.709330227004891</v>
      </c>
      <c r="F11" s="712">
        <f>'Rekap RAB '!D10</f>
        <v>5764048324.7472649</v>
      </c>
      <c r="G11" s="36">
        <f>E11/22</f>
        <v>1.1686059194093132</v>
      </c>
      <c r="H11" s="37">
        <f>G11</f>
        <v>1.1686059194093132</v>
      </c>
      <c r="I11" s="37">
        <f t="shared" ref="I11:Z11" si="0">H11</f>
        <v>1.1686059194093132</v>
      </c>
      <c r="J11" s="37">
        <f t="shared" si="0"/>
        <v>1.1686059194093132</v>
      </c>
      <c r="K11" s="37">
        <f t="shared" si="0"/>
        <v>1.1686059194093132</v>
      </c>
      <c r="L11" s="37">
        <f t="shared" si="0"/>
        <v>1.1686059194093132</v>
      </c>
      <c r="M11" s="37">
        <f t="shared" si="0"/>
        <v>1.1686059194093132</v>
      </c>
      <c r="N11" s="37">
        <f t="shared" si="0"/>
        <v>1.1686059194093132</v>
      </c>
      <c r="O11" s="37">
        <f t="shared" si="0"/>
        <v>1.1686059194093132</v>
      </c>
      <c r="P11" s="37">
        <f t="shared" si="0"/>
        <v>1.1686059194093132</v>
      </c>
      <c r="Q11" s="37">
        <f t="shared" si="0"/>
        <v>1.1686059194093132</v>
      </c>
      <c r="R11" s="37">
        <f t="shared" si="0"/>
        <v>1.1686059194093132</v>
      </c>
      <c r="S11" s="37">
        <f t="shared" si="0"/>
        <v>1.1686059194093132</v>
      </c>
      <c r="T11" s="37">
        <f t="shared" si="0"/>
        <v>1.1686059194093132</v>
      </c>
      <c r="U11" s="37">
        <f t="shared" si="0"/>
        <v>1.1686059194093132</v>
      </c>
      <c r="V11" s="37">
        <f t="shared" si="0"/>
        <v>1.1686059194093132</v>
      </c>
      <c r="W11" s="37">
        <f t="shared" si="0"/>
        <v>1.1686059194093132</v>
      </c>
      <c r="X11" s="37">
        <f t="shared" si="0"/>
        <v>1.1686059194093132</v>
      </c>
      <c r="Y11" s="37">
        <f t="shared" si="0"/>
        <v>1.1686059194093132</v>
      </c>
      <c r="Z11" s="37">
        <f t="shared" si="0"/>
        <v>1.1686059194093132</v>
      </c>
      <c r="AA11" s="37">
        <f t="shared" ref="AA11" si="1">Z11</f>
        <v>1.1686059194093132</v>
      </c>
      <c r="AB11" s="573">
        <f t="shared" ref="AB11" si="2">AA11</f>
        <v>1.1686059194093132</v>
      </c>
      <c r="AC11" s="27"/>
      <c r="AD11" s="578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58" s="42" customFormat="1" ht="13.5" customHeight="1">
      <c r="A12" s="33"/>
      <c r="B12" s="706"/>
      <c r="C12" s="709"/>
      <c r="D12" s="710"/>
      <c r="E12" s="711"/>
      <c r="F12" s="712"/>
      <c r="G12" s="593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5"/>
      <c r="AC12" s="27"/>
      <c r="AD12" s="578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58" ht="7.5" customHeight="1">
      <c r="A13" s="33"/>
      <c r="B13" s="26"/>
      <c r="C13" s="27"/>
      <c r="D13" s="28"/>
      <c r="E13" s="29"/>
      <c r="F13" s="30"/>
      <c r="G13" s="220"/>
      <c r="H13" s="39"/>
      <c r="I13" s="39"/>
      <c r="J13" s="39"/>
      <c r="K13" s="39"/>
      <c r="L13" s="39"/>
      <c r="M13" s="39"/>
      <c r="N13" s="39"/>
      <c r="O13" s="39"/>
      <c r="P13" s="39"/>
      <c r="Q13" s="41"/>
      <c r="R13" s="41"/>
      <c r="S13" s="41"/>
      <c r="T13" s="41"/>
      <c r="U13" s="41"/>
      <c r="V13" s="41"/>
      <c r="W13" s="39"/>
      <c r="X13" s="39"/>
      <c r="Y13" s="41"/>
      <c r="Z13" s="211"/>
      <c r="AA13" s="39"/>
      <c r="AB13" s="210"/>
      <c r="AC13" s="27"/>
      <c r="AD13" s="578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58" ht="9.75" customHeight="1">
      <c r="A14" s="33"/>
      <c r="B14" s="26"/>
      <c r="C14" s="27"/>
      <c r="D14" s="28"/>
      <c r="E14" s="29"/>
      <c r="F14" s="30"/>
      <c r="G14" s="220"/>
      <c r="H14" s="39"/>
      <c r="I14" s="39"/>
      <c r="J14" s="39"/>
      <c r="K14" s="39"/>
      <c r="L14" s="39"/>
      <c r="M14" s="39"/>
      <c r="N14" s="39"/>
      <c r="O14" s="39"/>
      <c r="P14" s="39"/>
      <c r="Q14" s="41"/>
      <c r="R14" s="41"/>
      <c r="S14" s="41"/>
      <c r="T14" s="41"/>
      <c r="U14" s="41"/>
      <c r="V14" s="41"/>
      <c r="W14" s="39"/>
      <c r="X14" s="39"/>
      <c r="Y14" s="41"/>
      <c r="Z14" s="211"/>
      <c r="AA14" s="39"/>
      <c r="AB14" s="210"/>
      <c r="AC14" s="27"/>
      <c r="AD14" s="578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58" s="42" customFormat="1">
      <c r="A15" s="33"/>
      <c r="B15" s="725">
        <v>3</v>
      </c>
      <c r="C15" s="709" t="s">
        <v>591</v>
      </c>
      <c r="D15" s="710"/>
      <c r="E15" s="727">
        <f>F15/F25*100</f>
        <v>42.046056818105711</v>
      </c>
      <c r="F15" s="729">
        <f>'Rekap RAB '!D12</f>
        <v>9426752903.5066853</v>
      </c>
      <c r="G15" s="220"/>
      <c r="H15" s="39"/>
      <c r="I15" s="39">
        <f>E15/22</f>
        <v>1.9111844008229868</v>
      </c>
      <c r="J15" s="39">
        <f>I15</f>
        <v>1.9111844008229868</v>
      </c>
      <c r="K15" s="39">
        <f t="shared" ref="K15:AB15" si="3">J15</f>
        <v>1.9111844008229868</v>
      </c>
      <c r="L15" s="39">
        <f t="shared" si="3"/>
        <v>1.9111844008229868</v>
      </c>
      <c r="M15" s="39">
        <f t="shared" si="3"/>
        <v>1.9111844008229868</v>
      </c>
      <c r="N15" s="39">
        <f t="shared" si="3"/>
        <v>1.9111844008229868</v>
      </c>
      <c r="O15" s="39">
        <f t="shared" si="3"/>
        <v>1.9111844008229868</v>
      </c>
      <c r="P15" s="39">
        <f t="shared" si="3"/>
        <v>1.9111844008229868</v>
      </c>
      <c r="Q15" s="39">
        <f t="shared" si="3"/>
        <v>1.9111844008229868</v>
      </c>
      <c r="R15" s="39">
        <f t="shared" si="3"/>
        <v>1.9111844008229868</v>
      </c>
      <c r="S15" s="39">
        <f t="shared" si="3"/>
        <v>1.9111844008229868</v>
      </c>
      <c r="T15" s="39">
        <f t="shared" si="3"/>
        <v>1.9111844008229868</v>
      </c>
      <c r="U15" s="39">
        <f t="shared" si="3"/>
        <v>1.9111844008229868</v>
      </c>
      <c r="V15" s="39">
        <f t="shared" si="3"/>
        <v>1.9111844008229868</v>
      </c>
      <c r="W15" s="39">
        <f t="shared" si="3"/>
        <v>1.9111844008229868</v>
      </c>
      <c r="X15" s="39">
        <f t="shared" si="3"/>
        <v>1.9111844008229868</v>
      </c>
      <c r="Y15" s="39">
        <f t="shared" si="3"/>
        <v>1.9111844008229868</v>
      </c>
      <c r="Z15" s="39">
        <f t="shared" si="3"/>
        <v>1.9111844008229868</v>
      </c>
      <c r="AA15" s="39">
        <f t="shared" si="3"/>
        <v>1.9111844008229868</v>
      </c>
      <c r="AB15" s="210">
        <f t="shared" si="3"/>
        <v>1.9111844008229868</v>
      </c>
      <c r="AC15" s="575">
        <f>AB15</f>
        <v>1.9111844008229868</v>
      </c>
      <c r="AD15" s="579">
        <f>AC15</f>
        <v>1.9111844008229868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58" s="42" customFormat="1">
      <c r="A16" s="33"/>
      <c r="B16" s="726"/>
      <c r="C16" s="709"/>
      <c r="D16" s="710"/>
      <c r="E16" s="728"/>
      <c r="F16" s="730"/>
      <c r="G16" s="220"/>
      <c r="H16" s="39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2"/>
      <c r="AC16" s="596"/>
      <c r="AD16" s="597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1:45" ht="8.25" customHeight="1">
      <c r="A17" s="33"/>
      <c r="B17" s="26"/>
      <c r="C17" s="27"/>
      <c r="D17" s="28"/>
      <c r="E17" s="29"/>
      <c r="F17" s="30"/>
      <c r="G17" s="220"/>
      <c r="H17" s="39"/>
      <c r="I17" s="39"/>
      <c r="J17" s="39"/>
      <c r="K17" s="39"/>
      <c r="L17" s="39"/>
      <c r="M17" s="39"/>
      <c r="N17" s="39"/>
      <c r="O17" s="39"/>
      <c r="P17" s="39"/>
      <c r="Q17" s="41"/>
      <c r="R17" s="41"/>
      <c r="S17" s="41"/>
      <c r="T17" s="41"/>
      <c r="U17" s="41"/>
      <c r="V17" s="41"/>
      <c r="W17" s="39"/>
      <c r="X17" s="39"/>
      <c r="Y17" s="41"/>
      <c r="Z17" s="211"/>
      <c r="AA17" s="39"/>
      <c r="AB17" s="210"/>
      <c r="AC17" s="27"/>
      <c r="AD17" s="578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s="42" customFormat="1">
      <c r="A18" s="33"/>
      <c r="B18" s="706">
        <v>4</v>
      </c>
      <c r="C18" s="709" t="s">
        <v>592</v>
      </c>
      <c r="D18" s="710"/>
      <c r="E18" s="711">
        <f>F18/F25*100</f>
        <v>28.890597806191437</v>
      </c>
      <c r="F18" s="712">
        <f>'Rekap RAB '!D14</f>
        <v>6477290556.2046204</v>
      </c>
      <c r="G18" s="220"/>
      <c r="H18" s="39"/>
      <c r="I18" s="39">
        <f>E18/22</f>
        <v>1.3132089911905198</v>
      </c>
      <c r="J18" s="39">
        <f>I18</f>
        <v>1.3132089911905198</v>
      </c>
      <c r="K18" s="39">
        <f t="shared" ref="K18:AB18" si="4">J18</f>
        <v>1.3132089911905198</v>
      </c>
      <c r="L18" s="39">
        <f t="shared" si="4"/>
        <v>1.3132089911905198</v>
      </c>
      <c r="M18" s="39">
        <f t="shared" si="4"/>
        <v>1.3132089911905198</v>
      </c>
      <c r="N18" s="39">
        <f t="shared" si="4"/>
        <v>1.3132089911905198</v>
      </c>
      <c r="O18" s="39">
        <f t="shared" si="4"/>
        <v>1.3132089911905198</v>
      </c>
      <c r="P18" s="39">
        <f t="shared" si="4"/>
        <v>1.3132089911905198</v>
      </c>
      <c r="Q18" s="39">
        <f t="shared" si="4"/>
        <v>1.3132089911905198</v>
      </c>
      <c r="R18" s="39">
        <f t="shared" si="4"/>
        <v>1.3132089911905198</v>
      </c>
      <c r="S18" s="39">
        <f t="shared" si="4"/>
        <v>1.3132089911905198</v>
      </c>
      <c r="T18" s="39">
        <f t="shared" si="4"/>
        <v>1.3132089911905198</v>
      </c>
      <c r="U18" s="39">
        <f t="shared" si="4"/>
        <v>1.3132089911905198</v>
      </c>
      <c r="V18" s="39">
        <f t="shared" si="4"/>
        <v>1.3132089911905198</v>
      </c>
      <c r="W18" s="39">
        <f t="shared" si="4"/>
        <v>1.3132089911905198</v>
      </c>
      <c r="X18" s="39">
        <f t="shared" si="4"/>
        <v>1.3132089911905198</v>
      </c>
      <c r="Y18" s="39">
        <f t="shared" si="4"/>
        <v>1.3132089911905198</v>
      </c>
      <c r="Z18" s="39">
        <f t="shared" si="4"/>
        <v>1.3132089911905198</v>
      </c>
      <c r="AA18" s="39">
        <f t="shared" si="4"/>
        <v>1.3132089911905198</v>
      </c>
      <c r="AB18" s="210">
        <f t="shared" si="4"/>
        <v>1.3132089911905198</v>
      </c>
      <c r="AC18" s="576">
        <f t="shared" ref="AC18" si="5">AB18</f>
        <v>1.3132089911905198</v>
      </c>
      <c r="AD18" s="208">
        <f t="shared" ref="AD18" si="6">AC18</f>
        <v>1.3132089911905198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1:45" s="42" customFormat="1">
      <c r="A19" s="33"/>
      <c r="B19" s="706"/>
      <c r="C19" s="709"/>
      <c r="D19" s="710"/>
      <c r="E19" s="711"/>
      <c r="F19" s="712"/>
      <c r="G19" s="220"/>
      <c r="H19" s="39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9"/>
      <c r="AC19" s="600"/>
      <c r="AD19" s="601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45" s="33" customFormat="1" ht="7.5" customHeight="1">
      <c r="B20" s="44"/>
      <c r="C20" s="45"/>
      <c r="D20" s="46"/>
      <c r="E20" s="29"/>
      <c r="F20" s="47"/>
      <c r="G20" s="220"/>
      <c r="H20" s="39"/>
      <c r="I20" s="39"/>
      <c r="J20" s="39"/>
      <c r="K20" s="39"/>
      <c r="L20" s="39"/>
      <c r="M20" s="39"/>
      <c r="N20" s="39"/>
      <c r="O20" s="39"/>
      <c r="P20" s="39"/>
      <c r="Q20" s="41"/>
      <c r="R20" s="41"/>
      <c r="S20" s="41"/>
      <c r="T20" s="41"/>
      <c r="U20" s="41"/>
      <c r="V20" s="41"/>
      <c r="W20" s="39"/>
      <c r="X20" s="39"/>
      <c r="Y20" s="41"/>
      <c r="Z20" s="211"/>
      <c r="AA20" s="39"/>
      <c r="AB20" s="210"/>
      <c r="AC20" s="27"/>
      <c r="AD20" s="578"/>
    </row>
    <row r="21" spans="1:45" s="33" customFormat="1">
      <c r="B21" s="725">
        <v>5</v>
      </c>
      <c r="C21" s="709" t="s">
        <v>593</v>
      </c>
      <c r="D21" s="710"/>
      <c r="E21" s="727">
        <f>F21/F25*100</f>
        <v>3.3540151486979508</v>
      </c>
      <c r="F21" s="729">
        <f>'Rekap RAB '!D16</f>
        <v>751972347.3279146</v>
      </c>
      <c r="G21" s="220"/>
      <c r="H21" s="39"/>
      <c r="I21" s="39"/>
      <c r="J21" s="39">
        <f>E21/11</f>
        <v>0.30491046806345007</v>
      </c>
      <c r="K21" s="39">
        <f>J21</f>
        <v>0.30491046806345007</v>
      </c>
      <c r="L21" s="39"/>
      <c r="M21" s="39"/>
      <c r="N21" s="39">
        <f>J21</f>
        <v>0.30491046806345007</v>
      </c>
      <c r="O21" s="39">
        <f>N21</f>
        <v>0.30491046806345007</v>
      </c>
      <c r="P21" s="39"/>
      <c r="Q21" s="39"/>
      <c r="R21" s="39">
        <f>N21</f>
        <v>0.30491046806345007</v>
      </c>
      <c r="S21" s="39">
        <f>R21</f>
        <v>0.30491046806345007</v>
      </c>
      <c r="T21" s="39"/>
      <c r="U21" s="39"/>
      <c r="V21" s="40">
        <f>R21</f>
        <v>0.30491046806345007</v>
      </c>
      <c r="W21" s="39">
        <f>V21</f>
        <v>0.30491046806345007</v>
      </c>
      <c r="X21" s="39"/>
      <c r="Y21" s="39"/>
      <c r="Z21" s="210">
        <f>V21</f>
        <v>0.30491046806345007</v>
      </c>
      <c r="AA21" s="39">
        <f>Z21</f>
        <v>0.30491046806345007</v>
      </c>
      <c r="AB21" s="210"/>
      <c r="AC21" s="575">
        <f>AA21</f>
        <v>0.30491046806345007</v>
      </c>
      <c r="AD21" s="578"/>
    </row>
    <row r="22" spans="1:45" s="33" customFormat="1">
      <c r="B22" s="726"/>
      <c r="C22" s="709"/>
      <c r="D22" s="710"/>
      <c r="E22" s="728"/>
      <c r="F22" s="730"/>
      <c r="G22" s="488"/>
      <c r="H22" s="489"/>
      <c r="I22" s="39"/>
      <c r="J22" s="602"/>
      <c r="K22" s="602"/>
      <c r="L22" s="491"/>
      <c r="M22" s="39"/>
      <c r="N22" s="602"/>
      <c r="O22" s="602"/>
      <c r="P22" s="490"/>
      <c r="Q22" s="39"/>
      <c r="R22" s="602"/>
      <c r="S22" s="602"/>
      <c r="T22" s="490"/>
      <c r="U22" s="39"/>
      <c r="V22" s="603"/>
      <c r="W22" s="603"/>
      <c r="X22" s="490"/>
      <c r="Y22" s="39"/>
      <c r="Z22" s="603"/>
      <c r="AA22" s="603"/>
      <c r="AB22" s="210"/>
      <c r="AC22" s="604"/>
      <c r="AD22" s="578"/>
    </row>
    <row r="23" spans="1:45" ht="8.25" customHeight="1">
      <c r="B23" s="48"/>
      <c r="C23" s="34"/>
      <c r="D23" s="35"/>
      <c r="E23" s="49"/>
      <c r="F23" s="50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3"/>
      <c r="S23" s="53"/>
      <c r="T23" s="53"/>
      <c r="U23" s="53"/>
      <c r="V23" s="53"/>
      <c r="W23" s="52"/>
      <c r="X23" s="52"/>
      <c r="Y23" s="53"/>
      <c r="Z23" s="212"/>
      <c r="AA23" s="52"/>
      <c r="AB23" s="574"/>
      <c r="AC23" s="27"/>
      <c r="AD23" s="578"/>
    </row>
    <row r="24" spans="1:45">
      <c r="B24" s="731" t="s">
        <v>71</v>
      </c>
      <c r="C24" s="732"/>
      <c r="D24" s="732"/>
      <c r="E24" s="54">
        <f>SUM(E9:E22)</f>
        <v>100</v>
      </c>
      <c r="F24" s="55"/>
      <c r="G24" s="221">
        <f>SUM(G10:G22)</f>
        <v>1.1686059194093132</v>
      </c>
      <c r="H24" s="56">
        <f t="shared" ref="H24:AB24" si="7">SUM(H10:H22)</f>
        <v>1.1686059194093132</v>
      </c>
      <c r="I24" s="56">
        <f t="shared" si="7"/>
        <v>4.3929993114228196</v>
      </c>
      <c r="J24" s="56">
        <f>SUM(J10:J22)</f>
        <v>4.6979097794862694</v>
      </c>
      <c r="K24" s="56">
        <f t="shared" si="7"/>
        <v>4.6979097794862694</v>
      </c>
      <c r="L24" s="56">
        <f t="shared" si="7"/>
        <v>4.3929993114228196</v>
      </c>
      <c r="M24" s="56">
        <f t="shared" si="7"/>
        <v>4.3929993114228196</v>
      </c>
      <c r="N24" s="56">
        <f t="shared" si="7"/>
        <v>4.6979097794862694</v>
      </c>
      <c r="O24" s="56">
        <f t="shared" si="7"/>
        <v>4.6979097794862694</v>
      </c>
      <c r="P24" s="56">
        <f t="shared" si="7"/>
        <v>4.3929993114228196</v>
      </c>
      <c r="Q24" s="56">
        <f t="shared" si="7"/>
        <v>4.3929993114228196</v>
      </c>
      <c r="R24" s="56">
        <f t="shared" si="7"/>
        <v>4.6979097794862694</v>
      </c>
      <c r="S24" s="56">
        <f t="shared" si="7"/>
        <v>4.6979097794862694</v>
      </c>
      <c r="T24" s="56">
        <f t="shared" si="7"/>
        <v>4.3929993114228196</v>
      </c>
      <c r="U24" s="56">
        <f t="shared" si="7"/>
        <v>4.3929993114228196</v>
      </c>
      <c r="V24" s="56">
        <f t="shared" si="7"/>
        <v>4.6979097794862694</v>
      </c>
      <c r="W24" s="56">
        <f t="shared" si="7"/>
        <v>4.6979097794862694</v>
      </c>
      <c r="X24" s="56">
        <f t="shared" si="7"/>
        <v>4.3929993114228196</v>
      </c>
      <c r="Y24" s="56">
        <f t="shared" si="7"/>
        <v>4.3929993114228196</v>
      </c>
      <c r="Z24" s="213">
        <f t="shared" si="7"/>
        <v>4.6979097794862694</v>
      </c>
      <c r="AA24" s="56">
        <f t="shared" si="7"/>
        <v>4.6979097794862694</v>
      </c>
      <c r="AB24" s="213">
        <f t="shared" si="7"/>
        <v>4.3929993114228196</v>
      </c>
      <c r="AC24" s="605">
        <f>SUM(AC15:AC23)</f>
        <v>3.5293038600769568</v>
      </c>
      <c r="AD24" s="607">
        <f>SUM(AD15:AD23)</f>
        <v>3.2243933920135066</v>
      </c>
    </row>
    <row r="25" spans="1:45">
      <c r="B25" s="731" t="s">
        <v>72</v>
      </c>
      <c r="C25" s="732"/>
      <c r="D25" s="732"/>
      <c r="E25" s="732"/>
      <c r="F25" s="58">
        <f>SUM(F9:F22)</f>
        <v>22420064131.786488</v>
      </c>
      <c r="G25" s="222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0"/>
      <c r="T25" s="60"/>
      <c r="U25" s="60"/>
      <c r="V25" s="60"/>
      <c r="W25" s="59"/>
      <c r="X25" s="59"/>
      <c r="Y25" s="60"/>
      <c r="Z25" s="60"/>
      <c r="AA25" s="217"/>
      <c r="AB25" s="59"/>
      <c r="AC25" s="60"/>
      <c r="AD25" s="606"/>
    </row>
    <row r="26" spans="1:45" ht="16.5" thickBot="1">
      <c r="B26" s="733" t="s">
        <v>73</v>
      </c>
      <c r="C26" s="734"/>
      <c r="D26" s="734"/>
      <c r="E26" s="734"/>
      <c r="F26" s="735"/>
      <c r="G26" s="223">
        <f>G24</f>
        <v>1.1686059194093132</v>
      </c>
      <c r="H26" s="61">
        <f>G26+H24</f>
        <v>2.3372118388186265</v>
      </c>
      <c r="I26" s="61">
        <f t="shared" ref="I26:AA26" si="8">H26+I24</f>
        <v>6.7302111502414466</v>
      </c>
      <c r="J26" s="61">
        <f t="shared" si="8"/>
        <v>11.428120929727715</v>
      </c>
      <c r="K26" s="61">
        <f t="shared" si="8"/>
        <v>16.126030709213985</v>
      </c>
      <c r="L26" s="61">
        <f t="shared" si="8"/>
        <v>20.519030020636805</v>
      </c>
      <c r="M26" s="61">
        <f t="shared" si="8"/>
        <v>24.912029332059625</v>
      </c>
      <c r="N26" s="61">
        <f t="shared" si="8"/>
        <v>29.609939111545895</v>
      </c>
      <c r="O26" s="61">
        <f t="shared" si="8"/>
        <v>34.307848891032165</v>
      </c>
      <c r="P26" s="61">
        <f t="shared" si="8"/>
        <v>38.700848202454985</v>
      </c>
      <c r="Q26" s="61">
        <f t="shared" si="8"/>
        <v>43.093847513877805</v>
      </c>
      <c r="R26" s="61">
        <f t="shared" si="8"/>
        <v>47.791757293364071</v>
      </c>
      <c r="S26" s="61">
        <f t="shared" si="8"/>
        <v>52.489667072850338</v>
      </c>
      <c r="T26" s="61">
        <f t="shared" si="8"/>
        <v>56.882666384273158</v>
      </c>
      <c r="U26" s="61">
        <f t="shared" si="8"/>
        <v>61.275665695695977</v>
      </c>
      <c r="V26" s="61">
        <f t="shared" si="8"/>
        <v>65.973575475182244</v>
      </c>
      <c r="W26" s="61">
        <f t="shared" si="8"/>
        <v>70.671485254668511</v>
      </c>
      <c r="X26" s="61">
        <f t="shared" si="8"/>
        <v>75.064484566091323</v>
      </c>
      <c r="Y26" s="61">
        <f t="shared" si="8"/>
        <v>79.457483877514136</v>
      </c>
      <c r="Z26" s="214">
        <f t="shared" si="8"/>
        <v>84.155393657000403</v>
      </c>
      <c r="AA26" s="61">
        <f t="shared" si="8"/>
        <v>88.853303436486669</v>
      </c>
      <c r="AB26" s="214">
        <f>AB24+AA26</f>
        <v>93.246302747909482</v>
      </c>
      <c r="AC26" s="580">
        <f>AB26+AC24</f>
        <v>96.775606607986433</v>
      </c>
      <c r="AD26" s="581">
        <f>AC26+AD24</f>
        <v>99.999999999999943</v>
      </c>
    </row>
    <row r="27" spans="1:45" ht="16.5" thickTop="1"/>
    <row r="28" spans="1:45">
      <c r="R28" s="639"/>
    </row>
    <row r="29" spans="1:45">
      <c r="K29" s="25">
        <f>SUM(I15:AD15)</f>
        <v>42.046056818105711</v>
      </c>
      <c r="L29" s="25">
        <f>SUM(I18:AD18)</f>
        <v>28.890597806191444</v>
      </c>
    </row>
    <row r="30" spans="1:45">
      <c r="K30" s="25">
        <f>SUM(G11:AB11)</f>
        <v>25.709330227004884</v>
      </c>
      <c r="L30" s="25">
        <f>SUM(J21:AC21)</f>
        <v>3.3540151486979513</v>
      </c>
    </row>
  </sheetData>
  <mergeCells count="31">
    <mergeCell ref="B25:E25"/>
    <mergeCell ref="B26:F26"/>
    <mergeCell ref="B18:B19"/>
    <mergeCell ref="C18:D19"/>
    <mergeCell ref="E18:E19"/>
    <mergeCell ref="F18:F19"/>
    <mergeCell ref="B21:B22"/>
    <mergeCell ref="C21:D22"/>
    <mergeCell ref="E21:E22"/>
    <mergeCell ref="F21:F22"/>
    <mergeCell ref="B15:B16"/>
    <mergeCell ref="C15:D16"/>
    <mergeCell ref="E15:E16"/>
    <mergeCell ref="F15:F16"/>
    <mergeCell ref="B24:D24"/>
    <mergeCell ref="G4:V5"/>
    <mergeCell ref="B7:B8"/>
    <mergeCell ref="C7:D8"/>
    <mergeCell ref="E7:E8"/>
    <mergeCell ref="F7:F8"/>
    <mergeCell ref="G8:J8"/>
    <mergeCell ref="K8:N8"/>
    <mergeCell ref="O8:R8"/>
    <mergeCell ref="S8:V8"/>
    <mergeCell ref="W8:Z8"/>
    <mergeCell ref="AA8:AD8"/>
    <mergeCell ref="G7:AD7"/>
    <mergeCell ref="B11:B12"/>
    <mergeCell ref="C11:D12"/>
    <mergeCell ref="E11:E12"/>
    <mergeCell ref="F11:F12"/>
  </mergeCells>
  <pageMargins left="0.51181102362204722" right="0.31496062992125984" top="0.94488188976377963" bottom="0.94488188976377963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F26"/>
  <sheetViews>
    <sheetView view="pageBreakPreview" topLeftCell="O1" zoomScale="62" zoomScaleNormal="62" zoomScaleSheetLayoutView="62" workbookViewId="0">
      <selection activeCell="AD10" sqref="AD10"/>
    </sheetView>
  </sheetViews>
  <sheetFormatPr defaultRowHeight="15.75"/>
  <cols>
    <col min="1" max="1" width="3.28515625" style="22" customWidth="1"/>
    <col min="2" max="2" width="6.85546875" style="22" customWidth="1"/>
    <col min="3" max="3" width="21.5703125" style="22" customWidth="1"/>
    <col min="4" max="4" width="18.42578125" style="22" customWidth="1"/>
    <col min="5" max="5" width="9" style="23" customWidth="1"/>
    <col min="6" max="6" width="34.140625" style="24" customWidth="1"/>
    <col min="7" max="16" width="9" style="25" customWidth="1"/>
    <col min="17" max="22" width="9" style="22" customWidth="1"/>
    <col min="23" max="24" width="9" style="25" customWidth="1"/>
    <col min="25" max="26" width="9" style="22" customWidth="1"/>
    <col min="27" max="27" width="9" style="25" customWidth="1"/>
    <col min="28" max="28" width="10" style="25" customWidth="1"/>
    <col min="29" max="29" width="3.7109375" style="22" customWidth="1"/>
    <col min="30" max="16384" width="9.140625" style="22"/>
  </cols>
  <sheetData>
    <row r="1" spans="1:58" s="10" customFormat="1" ht="18.75">
      <c r="C1" s="11" t="s">
        <v>47</v>
      </c>
      <c r="D1" s="1"/>
      <c r="E1" s="12" t="s">
        <v>597</v>
      </c>
      <c r="F1" s="2"/>
      <c r="G1" s="3"/>
      <c r="H1" s="4"/>
      <c r="I1" s="5"/>
      <c r="J1" s="5"/>
      <c r="K1" s="5"/>
      <c r="L1" s="5"/>
      <c r="M1" s="4"/>
      <c r="N1" s="4"/>
      <c r="O1" s="4"/>
      <c r="P1" s="6"/>
      <c r="Q1" s="6"/>
      <c r="R1" s="6"/>
      <c r="S1" s="6"/>
      <c r="T1" s="7"/>
      <c r="U1" s="8"/>
      <c r="V1" s="9"/>
      <c r="W1" s="4"/>
      <c r="X1" s="6"/>
      <c r="Y1" s="6"/>
      <c r="Z1" s="6"/>
      <c r="AA1" s="4"/>
      <c r="AB1" s="6"/>
      <c r="AC1" s="9"/>
      <c r="AD1" s="8"/>
      <c r="AE1" s="9"/>
      <c r="AF1" s="8"/>
      <c r="AG1" s="9"/>
      <c r="AH1" s="8"/>
      <c r="AI1" s="6"/>
      <c r="AJ1" s="6"/>
      <c r="AK1" s="7"/>
      <c r="AL1" s="8"/>
      <c r="AM1" s="9"/>
      <c r="AN1" s="8"/>
      <c r="AO1" s="9"/>
      <c r="AP1" s="8"/>
      <c r="AQ1" s="9"/>
      <c r="AR1" s="8"/>
      <c r="AS1" s="6"/>
      <c r="AT1" s="6"/>
      <c r="AU1" s="7"/>
      <c r="AV1" s="8"/>
      <c r="AW1" s="9"/>
      <c r="AX1" s="8"/>
      <c r="AY1" s="9"/>
      <c r="AZ1" s="8"/>
      <c r="BA1" s="9"/>
      <c r="BB1" s="8"/>
      <c r="BC1" s="4"/>
      <c r="BD1" s="4"/>
      <c r="BE1" s="4"/>
      <c r="BF1" s="4"/>
    </row>
    <row r="2" spans="1:58" s="10" customFormat="1" ht="18.75">
      <c r="C2" s="13" t="s">
        <v>48</v>
      </c>
      <c r="D2" s="13"/>
      <c r="E2" s="14" t="s">
        <v>65</v>
      </c>
      <c r="F2" s="2"/>
      <c r="G2" s="3"/>
      <c r="H2" s="4"/>
      <c r="I2" s="5"/>
      <c r="J2" s="5"/>
      <c r="K2" s="5"/>
      <c r="L2" s="5"/>
      <c r="M2" s="4"/>
      <c r="N2" s="4"/>
      <c r="O2" s="4"/>
      <c r="P2" s="6"/>
      <c r="Q2" s="6"/>
      <c r="R2" s="6"/>
      <c r="S2" s="6"/>
      <c r="T2" s="7"/>
      <c r="U2" s="8"/>
      <c r="V2" s="9"/>
      <c r="W2" s="4"/>
      <c r="X2" s="6"/>
      <c r="Y2" s="6"/>
      <c r="Z2" s="6"/>
      <c r="AA2" s="4"/>
      <c r="AB2" s="6"/>
      <c r="AC2" s="9"/>
      <c r="AD2" s="8"/>
      <c r="AE2" s="9"/>
      <c r="AF2" s="8"/>
      <c r="AG2" s="9"/>
      <c r="AH2" s="8"/>
      <c r="AI2" s="6"/>
      <c r="AJ2" s="6"/>
      <c r="AK2" s="7"/>
      <c r="AL2" s="8"/>
      <c r="AM2" s="9"/>
      <c r="AN2" s="8"/>
      <c r="AO2" s="9"/>
      <c r="AP2" s="8"/>
      <c r="AQ2" s="9"/>
      <c r="AR2" s="8"/>
      <c r="AS2" s="6"/>
      <c r="AT2" s="6"/>
      <c r="AU2" s="7"/>
      <c r="AV2" s="8"/>
      <c r="AW2" s="9"/>
      <c r="AX2" s="8"/>
      <c r="AY2" s="9"/>
      <c r="AZ2" s="8"/>
      <c r="BA2" s="9"/>
      <c r="BB2" s="8"/>
      <c r="BC2" s="4"/>
      <c r="BD2" s="4"/>
      <c r="BE2" s="4"/>
      <c r="BF2" s="4"/>
    </row>
    <row r="3" spans="1:58" s="10" customFormat="1" ht="18.75">
      <c r="C3" s="17" t="s">
        <v>49</v>
      </c>
      <c r="D3" s="17"/>
      <c r="E3" s="17" t="s">
        <v>64</v>
      </c>
      <c r="F3" s="2"/>
      <c r="G3" s="3"/>
      <c r="H3" s="4"/>
      <c r="I3" s="5"/>
      <c r="J3" s="5"/>
      <c r="K3" s="5"/>
      <c r="L3" s="5"/>
      <c r="M3" s="4"/>
      <c r="N3" s="4"/>
      <c r="O3" s="4"/>
      <c r="P3" s="6"/>
      <c r="Q3" s="6"/>
      <c r="R3" s="6"/>
      <c r="S3" s="6"/>
      <c r="T3" s="7"/>
      <c r="U3" s="8"/>
      <c r="V3" s="9"/>
      <c r="W3" s="4"/>
      <c r="X3" s="6"/>
      <c r="Y3" s="6"/>
      <c r="Z3" s="6"/>
      <c r="AA3" s="4"/>
      <c r="AB3" s="6"/>
      <c r="AC3" s="9"/>
      <c r="AD3" s="8"/>
      <c r="AE3" s="9"/>
      <c r="AF3" s="8"/>
      <c r="AG3" s="9"/>
      <c r="AH3" s="8"/>
      <c r="AI3" s="6"/>
      <c r="AJ3" s="6"/>
      <c r="AK3" s="7"/>
      <c r="AL3" s="8"/>
      <c r="AM3" s="9"/>
      <c r="AN3" s="8"/>
      <c r="AO3" s="9"/>
      <c r="AP3" s="8"/>
      <c r="AQ3" s="9"/>
      <c r="AR3" s="8"/>
      <c r="AS3" s="6"/>
      <c r="AT3" s="6"/>
      <c r="AU3" s="7"/>
      <c r="AV3" s="8"/>
      <c r="AW3" s="9"/>
      <c r="AX3" s="8"/>
      <c r="AY3" s="9"/>
      <c r="AZ3" s="8"/>
      <c r="BA3" s="9"/>
      <c r="BB3" s="8"/>
      <c r="BC3" s="4"/>
      <c r="BD3" s="4"/>
      <c r="BE3" s="4"/>
      <c r="BF3" s="4"/>
    </row>
    <row r="4" spans="1:58" s="10" customFormat="1" ht="18.75" customHeight="1">
      <c r="C4" s="19" t="s">
        <v>50</v>
      </c>
      <c r="D4" s="19"/>
      <c r="E4" s="19" t="s">
        <v>63</v>
      </c>
      <c r="F4" s="2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132"/>
      <c r="X4" s="132"/>
      <c r="Y4" s="132"/>
      <c r="Z4" s="132"/>
      <c r="AA4" s="132"/>
      <c r="AB4" s="132"/>
      <c r="AC4" s="9"/>
      <c r="AD4" s="8"/>
      <c r="AE4" s="9"/>
      <c r="AF4" s="8"/>
      <c r="AG4" s="9"/>
      <c r="AH4" s="8"/>
      <c r="AI4" s="6"/>
      <c r="AJ4" s="6"/>
      <c r="AK4" s="7"/>
      <c r="AL4" s="8"/>
      <c r="AM4" s="9"/>
      <c r="AN4" s="8"/>
      <c r="AO4" s="9"/>
      <c r="AP4" s="8"/>
      <c r="AQ4" s="9"/>
      <c r="AR4" s="8"/>
      <c r="AS4" s="6"/>
      <c r="AT4" s="6"/>
      <c r="AU4" s="7"/>
      <c r="AV4" s="8"/>
      <c r="AW4" s="9"/>
      <c r="AX4" s="8"/>
      <c r="AY4" s="9"/>
      <c r="AZ4" s="8"/>
      <c r="BA4" s="9"/>
      <c r="BB4" s="8"/>
      <c r="BC4" s="4"/>
      <c r="BD4" s="4"/>
      <c r="BE4" s="4"/>
      <c r="BF4" s="4"/>
    </row>
    <row r="5" spans="1:58" s="10" customFormat="1" ht="18.75" customHeight="1">
      <c r="C5" s="19" t="s">
        <v>51</v>
      </c>
      <c r="D5" s="19"/>
      <c r="E5" s="19"/>
      <c r="F5" s="2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132"/>
      <c r="X5" s="132"/>
      <c r="Y5" s="132"/>
      <c r="Z5" s="132"/>
      <c r="AA5" s="132"/>
      <c r="AB5" s="132"/>
      <c r="AC5" s="9"/>
      <c r="AD5" s="8"/>
      <c r="AE5" s="9"/>
      <c r="AF5" s="8"/>
      <c r="AG5" s="9"/>
      <c r="AH5" s="8"/>
      <c r="AI5" s="6"/>
      <c r="AJ5" s="6"/>
      <c r="AK5" s="7"/>
      <c r="AL5" s="8"/>
      <c r="AM5" s="9"/>
      <c r="AN5" s="8"/>
      <c r="AO5" s="9"/>
      <c r="AP5" s="8"/>
      <c r="AQ5" s="9"/>
      <c r="AR5" s="8"/>
      <c r="AS5" s="6"/>
      <c r="AT5" s="6"/>
      <c r="AU5" s="7"/>
      <c r="AV5" s="8"/>
      <c r="AW5" s="9"/>
      <c r="AX5" s="8"/>
      <c r="AY5" s="9"/>
      <c r="AZ5" s="8"/>
      <c r="BA5" s="9"/>
      <c r="BB5" s="8"/>
      <c r="BC5" s="4"/>
      <c r="BD5" s="4"/>
      <c r="BE5" s="4"/>
      <c r="BF5" s="4"/>
    </row>
    <row r="6" spans="1:58" ht="16.5" thickBot="1"/>
    <row r="7" spans="1:58" ht="21" customHeight="1" thickTop="1">
      <c r="B7" s="714" t="s">
        <v>66</v>
      </c>
      <c r="C7" s="716" t="s">
        <v>54</v>
      </c>
      <c r="D7" s="716"/>
      <c r="E7" s="718" t="s">
        <v>67</v>
      </c>
      <c r="F7" s="720" t="s">
        <v>68</v>
      </c>
      <c r="G7" s="738" t="s">
        <v>69</v>
      </c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</row>
    <row r="8" spans="1:58" ht="21" thickBot="1">
      <c r="B8" s="715"/>
      <c r="C8" s="717"/>
      <c r="D8" s="717"/>
      <c r="E8" s="719"/>
      <c r="F8" s="721"/>
      <c r="G8" s="722">
        <v>1</v>
      </c>
      <c r="H8" s="723"/>
      <c r="I8" s="723"/>
      <c r="J8" s="723"/>
      <c r="K8" s="723">
        <v>2</v>
      </c>
      <c r="L8" s="723"/>
      <c r="M8" s="723"/>
      <c r="N8" s="723"/>
      <c r="O8" s="723">
        <v>3</v>
      </c>
      <c r="P8" s="723"/>
      <c r="Q8" s="723"/>
      <c r="R8" s="723"/>
      <c r="S8" s="724">
        <v>4</v>
      </c>
      <c r="T8" s="724"/>
      <c r="U8" s="724"/>
      <c r="V8" s="724"/>
      <c r="W8" s="699">
        <v>5</v>
      </c>
      <c r="X8" s="699"/>
      <c r="Y8" s="699"/>
      <c r="Z8" s="700"/>
      <c r="AA8" s="736">
        <v>6</v>
      </c>
      <c r="AB8" s="737"/>
      <c r="AC8" s="737"/>
      <c r="AD8" s="737"/>
    </row>
    <row r="9" spans="1:58" ht="7.5" customHeight="1" thickTop="1">
      <c r="B9" s="26"/>
      <c r="C9" s="27"/>
      <c r="D9" s="28"/>
      <c r="E9" s="29"/>
      <c r="F9" s="30"/>
      <c r="G9" s="219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1"/>
      <c r="X9" s="31"/>
      <c r="Y9" s="32"/>
      <c r="Z9" s="27"/>
      <c r="AA9" s="31"/>
      <c r="AB9" s="215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58" ht="17.25" customHeight="1">
      <c r="B10" s="26"/>
      <c r="C10" s="34" t="s">
        <v>70</v>
      </c>
      <c r="D10" s="35"/>
      <c r="E10" s="29"/>
      <c r="F10" s="30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  <c r="T10" s="38"/>
      <c r="U10" s="38"/>
      <c r="V10" s="38"/>
      <c r="W10" s="37"/>
      <c r="X10" s="37"/>
      <c r="Y10" s="38"/>
      <c r="Z10" s="209"/>
      <c r="AA10" s="37"/>
      <c r="AB10" s="4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58" s="42" customFormat="1" ht="13.5" customHeight="1">
      <c r="A11" s="33"/>
      <c r="B11" s="706">
        <v>1</v>
      </c>
      <c r="C11" s="707" t="s">
        <v>590</v>
      </c>
      <c r="D11" s="708"/>
      <c r="E11" s="711">
        <f>F11/F24*100</f>
        <v>25.709330227004891</v>
      </c>
      <c r="F11" s="712">
        <f>RAB!J84</f>
        <v>5764048324.7472649</v>
      </c>
      <c r="G11" s="36">
        <f>E11/20</f>
        <v>1.2854665113502446</v>
      </c>
      <c r="H11" s="37">
        <f>G11</f>
        <v>1.2854665113502446</v>
      </c>
      <c r="I11" s="37">
        <f t="shared" ref="I11:Z11" si="0">H11</f>
        <v>1.2854665113502446</v>
      </c>
      <c r="J11" s="37">
        <f t="shared" si="0"/>
        <v>1.2854665113502446</v>
      </c>
      <c r="K11" s="37">
        <f t="shared" si="0"/>
        <v>1.2854665113502446</v>
      </c>
      <c r="L11" s="37">
        <f t="shared" si="0"/>
        <v>1.2854665113502446</v>
      </c>
      <c r="M11" s="37">
        <f t="shared" si="0"/>
        <v>1.2854665113502446</v>
      </c>
      <c r="N11" s="37">
        <f t="shared" si="0"/>
        <v>1.2854665113502446</v>
      </c>
      <c r="O11" s="37">
        <f t="shared" si="0"/>
        <v>1.2854665113502446</v>
      </c>
      <c r="P11" s="37">
        <f t="shared" si="0"/>
        <v>1.2854665113502446</v>
      </c>
      <c r="Q11" s="37">
        <f t="shared" si="0"/>
        <v>1.2854665113502446</v>
      </c>
      <c r="R11" s="37">
        <f t="shared" si="0"/>
        <v>1.2854665113502446</v>
      </c>
      <c r="S11" s="37">
        <f t="shared" si="0"/>
        <v>1.2854665113502446</v>
      </c>
      <c r="T11" s="37">
        <f t="shared" si="0"/>
        <v>1.2854665113502446</v>
      </c>
      <c r="U11" s="37">
        <f t="shared" si="0"/>
        <v>1.2854665113502446</v>
      </c>
      <c r="V11" s="37">
        <f t="shared" si="0"/>
        <v>1.2854665113502446</v>
      </c>
      <c r="W11" s="37">
        <f t="shared" si="0"/>
        <v>1.2854665113502446</v>
      </c>
      <c r="X11" s="37">
        <f t="shared" si="0"/>
        <v>1.2854665113502446</v>
      </c>
      <c r="Y11" s="37">
        <f t="shared" si="0"/>
        <v>1.2854665113502446</v>
      </c>
      <c r="Z11" s="37">
        <f t="shared" si="0"/>
        <v>1.2854665113502446</v>
      </c>
      <c r="AA11" s="39"/>
      <c r="AB11" s="208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58" s="42" customFormat="1" ht="13.5" customHeight="1">
      <c r="A12" s="33"/>
      <c r="B12" s="706"/>
      <c r="C12" s="709"/>
      <c r="D12" s="710"/>
      <c r="E12" s="711"/>
      <c r="F12" s="712"/>
      <c r="G12" s="511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39"/>
      <c r="AB12" s="208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58" ht="7.5" customHeight="1">
      <c r="A13" s="33"/>
      <c r="B13" s="26"/>
      <c r="C13" s="27"/>
      <c r="D13" s="28"/>
      <c r="E13" s="29"/>
      <c r="F13" s="30"/>
      <c r="G13" s="220"/>
      <c r="H13" s="39"/>
      <c r="I13" s="39"/>
      <c r="J13" s="39"/>
      <c r="K13" s="39"/>
      <c r="L13" s="39"/>
      <c r="M13" s="39"/>
      <c r="N13" s="39"/>
      <c r="O13" s="39"/>
      <c r="P13" s="39"/>
      <c r="Q13" s="41"/>
      <c r="R13" s="41"/>
      <c r="S13" s="41"/>
      <c r="T13" s="41"/>
      <c r="U13" s="41"/>
      <c r="V13" s="41"/>
      <c r="W13" s="39"/>
      <c r="X13" s="39"/>
      <c r="Y13" s="41"/>
      <c r="Z13" s="211"/>
      <c r="AA13" s="39"/>
      <c r="AB13" s="208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58" s="42" customFormat="1">
      <c r="A14" s="33"/>
      <c r="B14" s="706">
        <v>2</v>
      </c>
      <c r="C14" s="709" t="s">
        <v>591</v>
      </c>
      <c r="D14" s="710"/>
      <c r="E14" s="711">
        <f>F14/F24*100</f>
        <v>42.046056818105711</v>
      </c>
      <c r="F14" s="712">
        <f>'Rekap RAB '!D12</f>
        <v>9426752903.5066853</v>
      </c>
      <c r="G14" s="220"/>
      <c r="H14" s="39"/>
      <c r="I14" s="39">
        <f>E14/20</f>
        <v>2.1023028409052857</v>
      </c>
      <c r="J14" s="39">
        <f>I14</f>
        <v>2.1023028409052857</v>
      </c>
      <c r="K14" s="39">
        <f t="shared" ref="K14:AB14" si="1">J14</f>
        <v>2.1023028409052857</v>
      </c>
      <c r="L14" s="39">
        <f t="shared" si="1"/>
        <v>2.1023028409052857</v>
      </c>
      <c r="M14" s="39">
        <f t="shared" si="1"/>
        <v>2.1023028409052857</v>
      </c>
      <c r="N14" s="39">
        <f t="shared" si="1"/>
        <v>2.1023028409052857</v>
      </c>
      <c r="O14" s="39">
        <f t="shared" si="1"/>
        <v>2.1023028409052857</v>
      </c>
      <c r="P14" s="39">
        <f t="shared" si="1"/>
        <v>2.1023028409052857</v>
      </c>
      <c r="Q14" s="39">
        <f t="shared" si="1"/>
        <v>2.1023028409052857</v>
      </c>
      <c r="R14" s="39">
        <f t="shared" si="1"/>
        <v>2.1023028409052857</v>
      </c>
      <c r="S14" s="39">
        <f t="shared" si="1"/>
        <v>2.1023028409052857</v>
      </c>
      <c r="T14" s="39">
        <f t="shared" si="1"/>
        <v>2.1023028409052857</v>
      </c>
      <c r="U14" s="39">
        <f t="shared" si="1"/>
        <v>2.1023028409052857</v>
      </c>
      <c r="V14" s="39">
        <f t="shared" si="1"/>
        <v>2.1023028409052857</v>
      </c>
      <c r="W14" s="39">
        <f t="shared" si="1"/>
        <v>2.1023028409052857</v>
      </c>
      <c r="X14" s="39">
        <f t="shared" si="1"/>
        <v>2.1023028409052857</v>
      </c>
      <c r="Y14" s="39">
        <f t="shared" si="1"/>
        <v>2.1023028409052857</v>
      </c>
      <c r="Z14" s="39">
        <f t="shared" si="1"/>
        <v>2.1023028409052857</v>
      </c>
      <c r="AA14" s="39">
        <f t="shared" si="1"/>
        <v>2.1023028409052857</v>
      </c>
      <c r="AB14" s="39">
        <f t="shared" si="1"/>
        <v>2.1023028409052857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58" s="42" customFormat="1">
      <c r="A15" s="33"/>
      <c r="B15" s="706"/>
      <c r="C15" s="709"/>
      <c r="D15" s="710"/>
      <c r="E15" s="711"/>
      <c r="F15" s="712"/>
      <c r="G15" s="220"/>
      <c r="H15" s="39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58" ht="8.25" customHeight="1">
      <c r="A16" s="33"/>
      <c r="B16" s="26"/>
      <c r="C16" s="27"/>
      <c r="D16" s="28"/>
      <c r="E16" s="29"/>
      <c r="F16" s="30"/>
      <c r="G16" s="220"/>
      <c r="H16" s="39"/>
      <c r="I16" s="39"/>
      <c r="J16" s="39"/>
      <c r="K16" s="39"/>
      <c r="L16" s="39"/>
      <c r="M16" s="39"/>
      <c r="N16" s="39"/>
      <c r="O16" s="39"/>
      <c r="P16" s="39"/>
      <c r="Q16" s="41"/>
      <c r="R16" s="41"/>
      <c r="S16" s="41"/>
      <c r="T16" s="41"/>
      <c r="U16" s="41"/>
      <c r="V16" s="41"/>
      <c r="W16" s="39"/>
      <c r="X16" s="39"/>
      <c r="Y16" s="41"/>
      <c r="Z16" s="211"/>
      <c r="AA16" s="39"/>
      <c r="AB16" s="208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1:45" s="42" customFormat="1">
      <c r="A17" s="33"/>
      <c r="B17" s="706">
        <v>3</v>
      </c>
      <c r="C17" s="709" t="s">
        <v>592</v>
      </c>
      <c r="D17" s="710"/>
      <c r="E17" s="711">
        <f>F17/F24*100</f>
        <v>28.890597806191437</v>
      </c>
      <c r="F17" s="712">
        <f>'Rekap RAB '!D14</f>
        <v>6477290556.2046204</v>
      </c>
      <c r="G17" s="220"/>
      <c r="H17" s="39"/>
      <c r="I17" s="39">
        <f>E17/20</f>
        <v>1.4445298903095718</v>
      </c>
      <c r="J17" s="39">
        <f>I17</f>
        <v>1.4445298903095718</v>
      </c>
      <c r="K17" s="39">
        <f t="shared" ref="K17:AB17" si="2">J17</f>
        <v>1.4445298903095718</v>
      </c>
      <c r="L17" s="39">
        <f t="shared" si="2"/>
        <v>1.4445298903095718</v>
      </c>
      <c r="M17" s="39">
        <f t="shared" si="2"/>
        <v>1.4445298903095718</v>
      </c>
      <c r="N17" s="39">
        <f t="shared" si="2"/>
        <v>1.4445298903095718</v>
      </c>
      <c r="O17" s="39">
        <f t="shared" si="2"/>
        <v>1.4445298903095718</v>
      </c>
      <c r="P17" s="39">
        <f t="shared" si="2"/>
        <v>1.4445298903095718</v>
      </c>
      <c r="Q17" s="39">
        <f t="shared" si="2"/>
        <v>1.4445298903095718</v>
      </c>
      <c r="R17" s="39">
        <f t="shared" si="2"/>
        <v>1.4445298903095718</v>
      </c>
      <c r="S17" s="39">
        <f t="shared" si="2"/>
        <v>1.4445298903095718</v>
      </c>
      <c r="T17" s="39">
        <f t="shared" si="2"/>
        <v>1.4445298903095718</v>
      </c>
      <c r="U17" s="39">
        <f t="shared" si="2"/>
        <v>1.4445298903095718</v>
      </c>
      <c r="V17" s="39">
        <f t="shared" si="2"/>
        <v>1.4445298903095718</v>
      </c>
      <c r="W17" s="39">
        <f t="shared" si="2"/>
        <v>1.4445298903095718</v>
      </c>
      <c r="X17" s="39">
        <f t="shared" si="2"/>
        <v>1.4445298903095718</v>
      </c>
      <c r="Y17" s="39">
        <f t="shared" si="2"/>
        <v>1.4445298903095718</v>
      </c>
      <c r="Z17" s="39">
        <f t="shared" si="2"/>
        <v>1.4445298903095718</v>
      </c>
      <c r="AA17" s="39">
        <f t="shared" si="2"/>
        <v>1.4445298903095718</v>
      </c>
      <c r="AB17" s="39">
        <f t="shared" si="2"/>
        <v>1.4445298903095718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s="42" customFormat="1">
      <c r="A18" s="33"/>
      <c r="B18" s="706"/>
      <c r="C18" s="709"/>
      <c r="D18" s="710"/>
      <c r="E18" s="711"/>
      <c r="F18" s="712"/>
      <c r="G18" s="220"/>
      <c r="H18" s="39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1:45" s="33" customFormat="1" ht="7.5" customHeight="1">
      <c r="B19" s="44"/>
      <c r="C19" s="45"/>
      <c r="D19" s="46"/>
      <c r="E19" s="29"/>
      <c r="F19" s="47"/>
      <c r="G19" s="220"/>
      <c r="H19" s="39"/>
      <c r="I19" s="39"/>
      <c r="J19" s="39"/>
      <c r="K19" s="39"/>
      <c r="L19" s="39"/>
      <c r="M19" s="39"/>
      <c r="N19" s="39"/>
      <c r="O19" s="39"/>
      <c r="P19" s="39"/>
      <c r="Q19" s="41"/>
      <c r="R19" s="41"/>
      <c r="S19" s="41"/>
      <c r="T19" s="41"/>
      <c r="U19" s="41"/>
      <c r="V19" s="41"/>
      <c r="W19" s="39"/>
      <c r="X19" s="39"/>
      <c r="Y19" s="41"/>
      <c r="Z19" s="211"/>
      <c r="AA19" s="39"/>
      <c r="AB19" s="208"/>
    </row>
    <row r="20" spans="1:45" s="33" customFormat="1">
      <c r="B20" s="725">
        <v>4</v>
      </c>
      <c r="C20" s="709" t="s">
        <v>593</v>
      </c>
      <c r="D20" s="710"/>
      <c r="E20" s="727">
        <f>F20/F24*100</f>
        <v>3.3540151486979508</v>
      </c>
      <c r="F20" s="729">
        <f>'Rekap RAB '!D16</f>
        <v>751972347.3279146</v>
      </c>
      <c r="G20" s="220"/>
      <c r="H20" s="39"/>
      <c r="I20" s="39"/>
      <c r="J20" s="39">
        <f>E20/10</f>
        <v>0.33540151486979508</v>
      </c>
      <c r="K20" s="39">
        <f>J20</f>
        <v>0.33540151486979508</v>
      </c>
      <c r="L20" s="39"/>
      <c r="M20" s="39"/>
      <c r="N20" s="39">
        <f>J20</f>
        <v>0.33540151486979508</v>
      </c>
      <c r="O20" s="39">
        <f>N20</f>
        <v>0.33540151486979508</v>
      </c>
      <c r="P20" s="39"/>
      <c r="Q20" s="39"/>
      <c r="R20" s="39">
        <f>N20</f>
        <v>0.33540151486979508</v>
      </c>
      <c r="S20" s="39">
        <f>R20</f>
        <v>0.33540151486979508</v>
      </c>
      <c r="T20" s="39"/>
      <c r="U20" s="39"/>
      <c r="V20" s="40">
        <f>R20</f>
        <v>0.33540151486979508</v>
      </c>
      <c r="W20" s="39">
        <f>V20</f>
        <v>0.33540151486979508</v>
      </c>
      <c r="X20" s="39"/>
      <c r="Y20" s="39"/>
      <c r="Z20" s="210">
        <f>V20</f>
        <v>0.33540151486979508</v>
      </c>
      <c r="AA20" s="39">
        <f>Z20</f>
        <v>0.33540151486979508</v>
      </c>
      <c r="AB20" s="208"/>
    </row>
    <row r="21" spans="1:45" s="33" customFormat="1">
      <c r="B21" s="726"/>
      <c r="C21" s="709"/>
      <c r="D21" s="710"/>
      <c r="E21" s="728"/>
      <c r="F21" s="730"/>
      <c r="G21" s="488"/>
      <c r="H21" s="489"/>
      <c r="I21" s="39"/>
      <c r="J21" s="509"/>
      <c r="K21" s="509"/>
      <c r="L21" s="491"/>
      <c r="M21" s="39"/>
      <c r="N21" s="509"/>
      <c r="O21" s="509"/>
      <c r="P21" s="490"/>
      <c r="Q21" s="39"/>
      <c r="R21" s="509"/>
      <c r="S21" s="509"/>
      <c r="T21" s="490"/>
      <c r="U21" s="39"/>
      <c r="V21" s="510"/>
      <c r="W21" s="510"/>
      <c r="X21" s="490"/>
      <c r="Y21" s="39"/>
      <c r="Z21" s="510"/>
      <c r="AA21" s="510"/>
      <c r="AB21" s="208"/>
    </row>
    <row r="22" spans="1:45" ht="8.25" customHeight="1">
      <c r="B22" s="48"/>
      <c r="C22" s="34"/>
      <c r="D22" s="35"/>
      <c r="E22" s="49"/>
      <c r="F22" s="50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53"/>
      <c r="S22" s="53"/>
      <c r="T22" s="53"/>
      <c r="U22" s="53"/>
      <c r="V22" s="53"/>
      <c r="W22" s="52"/>
      <c r="X22" s="52"/>
      <c r="Y22" s="53"/>
      <c r="Z22" s="212"/>
      <c r="AA22" s="52"/>
      <c r="AB22" s="216"/>
    </row>
    <row r="23" spans="1:45">
      <c r="B23" s="731" t="s">
        <v>71</v>
      </c>
      <c r="C23" s="732"/>
      <c r="D23" s="732"/>
      <c r="E23" s="54">
        <f>SUM(E9:E21)</f>
        <v>100</v>
      </c>
      <c r="F23" s="55"/>
      <c r="G23" s="221">
        <f t="shared" ref="G23:Z23" si="3">SUM(G10:G21)</f>
        <v>1.2854665113502446</v>
      </c>
      <c r="H23" s="56">
        <f t="shared" si="3"/>
        <v>1.2854665113502446</v>
      </c>
      <c r="I23" s="56">
        <f t="shared" si="3"/>
        <v>4.8322992425651021</v>
      </c>
      <c r="J23" s="56">
        <f t="shared" si="3"/>
        <v>5.167700757434897</v>
      </c>
      <c r="K23" s="56">
        <f t="shared" si="3"/>
        <v>5.167700757434897</v>
      </c>
      <c r="L23" s="56">
        <f t="shared" si="3"/>
        <v>4.8322992425651021</v>
      </c>
      <c r="M23" s="56">
        <f t="shared" si="3"/>
        <v>4.8322992425651021</v>
      </c>
      <c r="N23" s="56">
        <f t="shared" si="3"/>
        <v>5.167700757434897</v>
      </c>
      <c r="O23" s="56">
        <f t="shared" si="3"/>
        <v>5.167700757434897</v>
      </c>
      <c r="P23" s="56">
        <f t="shared" si="3"/>
        <v>4.8322992425651021</v>
      </c>
      <c r="Q23" s="56">
        <f t="shared" si="3"/>
        <v>4.8322992425651021</v>
      </c>
      <c r="R23" s="56">
        <f t="shared" si="3"/>
        <v>5.167700757434897</v>
      </c>
      <c r="S23" s="56">
        <f t="shared" si="3"/>
        <v>5.167700757434897</v>
      </c>
      <c r="T23" s="56">
        <f t="shared" si="3"/>
        <v>4.8322992425651021</v>
      </c>
      <c r="U23" s="56">
        <f t="shared" si="3"/>
        <v>4.8322992425651021</v>
      </c>
      <c r="V23" s="56">
        <f t="shared" si="3"/>
        <v>5.167700757434897</v>
      </c>
      <c r="W23" s="56">
        <f t="shared" si="3"/>
        <v>5.167700757434897</v>
      </c>
      <c r="X23" s="56">
        <f t="shared" si="3"/>
        <v>4.8322992425651021</v>
      </c>
      <c r="Y23" s="56">
        <f t="shared" si="3"/>
        <v>4.8322992425651021</v>
      </c>
      <c r="Z23" s="213">
        <f t="shared" si="3"/>
        <v>5.167700757434897</v>
      </c>
      <c r="AA23" s="56">
        <f t="shared" ref="AA23:AB23" si="4">SUM(AA10:AA21)</f>
        <v>3.8822342460846526</v>
      </c>
      <c r="AB23" s="57">
        <f t="shared" si="4"/>
        <v>3.5468327312148578</v>
      </c>
    </row>
    <row r="24" spans="1:45">
      <c r="B24" s="731" t="s">
        <v>72</v>
      </c>
      <c r="C24" s="732"/>
      <c r="D24" s="732"/>
      <c r="E24" s="732"/>
      <c r="F24" s="58">
        <f>SUM(F9:F21)</f>
        <v>22420064131.786488</v>
      </c>
      <c r="G24" s="222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60"/>
      <c r="S24" s="60"/>
      <c r="T24" s="60"/>
      <c r="U24" s="60"/>
      <c r="V24" s="60"/>
      <c r="W24" s="59"/>
      <c r="X24" s="59"/>
      <c r="Y24" s="60"/>
      <c r="Z24" s="60"/>
      <c r="AA24" s="217"/>
      <c r="AB24" s="218"/>
    </row>
    <row r="25" spans="1:45" ht="16.5" thickBot="1">
      <c r="B25" s="733" t="s">
        <v>73</v>
      </c>
      <c r="C25" s="734"/>
      <c r="D25" s="734"/>
      <c r="E25" s="734"/>
      <c r="F25" s="735"/>
      <c r="G25" s="223">
        <f>G23</f>
        <v>1.2854665113502446</v>
      </c>
      <c r="H25" s="61">
        <f t="shared" ref="H25:Z25" si="5">G25+H23</f>
        <v>2.5709330227004892</v>
      </c>
      <c r="I25" s="61">
        <f t="shared" si="5"/>
        <v>7.4032322652655917</v>
      </c>
      <c r="J25" s="61">
        <f t="shared" si="5"/>
        <v>12.570933022700489</v>
      </c>
      <c r="K25" s="61">
        <f t="shared" si="5"/>
        <v>17.738633780135387</v>
      </c>
      <c r="L25" s="61">
        <f t="shared" si="5"/>
        <v>22.570933022700491</v>
      </c>
      <c r="M25" s="61">
        <f t="shared" si="5"/>
        <v>27.403232265265594</v>
      </c>
      <c r="N25" s="61">
        <f t="shared" si="5"/>
        <v>32.570933022700487</v>
      </c>
      <c r="O25" s="61">
        <f t="shared" si="5"/>
        <v>37.738633780135387</v>
      </c>
      <c r="P25" s="61">
        <f t="shared" si="5"/>
        <v>42.570933022700487</v>
      </c>
      <c r="Q25" s="61">
        <f t="shared" si="5"/>
        <v>47.403232265265586</v>
      </c>
      <c r="R25" s="61">
        <f t="shared" si="5"/>
        <v>52.570933022700487</v>
      </c>
      <c r="S25" s="61">
        <f t="shared" si="5"/>
        <v>57.738633780135387</v>
      </c>
      <c r="T25" s="61">
        <f t="shared" si="5"/>
        <v>62.570933022700487</v>
      </c>
      <c r="U25" s="61">
        <f t="shared" si="5"/>
        <v>67.403232265265586</v>
      </c>
      <c r="V25" s="61">
        <f t="shared" si="5"/>
        <v>72.570933022700487</v>
      </c>
      <c r="W25" s="61">
        <f t="shared" si="5"/>
        <v>77.738633780135387</v>
      </c>
      <c r="X25" s="61">
        <f t="shared" si="5"/>
        <v>82.570933022700487</v>
      </c>
      <c r="Y25" s="61">
        <f t="shared" si="5"/>
        <v>87.403232265265586</v>
      </c>
      <c r="Z25" s="214">
        <f t="shared" si="5"/>
        <v>92.570933022700487</v>
      </c>
      <c r="AA25" s="61">
        <f t="shared" ref="AA25" si="6">Z25+AA23</f>
        <v>96.453167268785137</v>
      </c>
      <c r="AB25" s="62">
        <f t="shared" ref="AB25" si="7">AA25+AB23</f>
        <v>100</v>
      </c>
    </row>
    <row r="26" spans="1:45" ht="16.5" thickTop="1"/>
  </sheetData>
  <mergeCells count="31">
    <mergeCell ref="AA8:AD8"/>
    <mergeCell ref="G7:AD7"/>
    <mergeCell ref="B25:F25"/>
    <mergeCell ref="B20:B21"/>
    <mergeCell ref="C20:D21"/>
    <mergeCell ref="E20:E21"/>
    <mergeCell ref="F20:F21"/>
    <mergeCell ref="B23:D23"/>
    <mergeCell ref="B24:E24"/>
    <mergeCell ref="B14:B15"/>
    <mergeCell ref="C14:D15"/>
    <mergeCell ref="E14:E15"/>
    <mergeCell ref="F14:F15"/>
    <mergeCell ref="B17:B18"/>
    <mergeCell ref="C17:D18"/>
    <mergeCell ref="E17:E18"/>
    <mergeCell ref="F17:F18"/>
    <mergeCell ref="W8:Z8"/>
    <mergeCell ref="B11:B12"/>
    <mergeCell ref="C11:D12"/>
    <mergeCell ref="E11:E12"/>
    <mergeCell ref="F11:F12"/>
    <mergeCell ref="G4:V5"/>
    <mergeCell ref="B7:B8"/>
    <mergeCell ref="C7:D8"/>
    <mergeCell ref="E7:E8"/>
    <mergeCell ref="F7:F8"/>
    <mergeCell ref="G8:J8"/>
    <mergeCell ref="K8:N8"/>
    <mergeCell ref="O8:R8"/>
    <mergeCell ref="S8:V8"/>
  </mergeCells>
  <pageMargins left="0.70866141732283472" right="0.70866141732283472" top="0.74803149606299213" bottom="0.74803149606299213" header="0.31496062992125984" footer="0.31496062992125984"/>
  <pageSetup scale="77" orientation="landscape" r:id="rId1"/>
  <colBreaks count="1" manualBreakCount="1">
    <brk id="12" max="2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E54"/>
  <sheetViews>
    <sheetView workbookViewId="0">
      <selection activeCell="E16" sqref="E16"/>
    </sheetView>
  </sheetViews>
  <sheetFormatPr defaultRowHeight="15"/>
  <cols>
    <col min="1" max="1" width="3.42578125" customWidth="1"/>
    <col min="2" max="2" width="4.85546875" customWidth="1"/>
    <col min="3" max="3" width="29.28515625" customWidth="1"/>
    <col min="4" max="4" width="9.85546875" customWidth="1"/>
    <col min="5" max="5" width="62.85546875" customWidth="1"/>
  </cols>
  <sheetData>
    <row r="1" spans="2:5" s="10" customFormat="1" ht="15.75" thickBot="1"/>
    <row r="2" spans="2:5" s="10" customFormat="1" ht="30.75" customHeight="1" thickTop="1" thickBot="1">
      <c r="B2" s="636" t="s">
        <v>53</v>
      </c>
      <c r="C2" s="637" t="s">
        <v>54</v>
      </c>
      <c r="D2" s="637" t="s">
        <v>598</v>
      </c>
      <c r="E2" s="638" t="s">
        <v>599</v>
      </c>
    </row>
    <row r="3" spans="2:5" s="10" customFormat="1" ht="19.5" customHeight="1" thickTop="1">
      <c r="B3" s="224"/>
      <c r="C3" s="225" t="s">
        <v>600</v>
      </c>
      <c r="D3" s="226"/>
      <c r="E3" s="227"/>
    </row>
    <row r="4" spans="2:5" s="10" customFormat="1" ht="16.5" customHeight="1">
      <c r="B4" s="740">
        <v>1</v>
      </c>
      <c r="C4" s="742" t="s">
        <v>601</v>
      </c>
      <c r="D4" s="744">
        <v>22</v>
      </c>
      <c r="E4" s="746" t="s">
        <v>966</v>
      </c>
    </row>
    <row r="5" spans="2:5" s="10" customFormat="1" ht="19.5" customHeight="1">
      <c r="B5" s="741"/>
      <c r="C5" s="743"/>
      <c r="D5" s="745"/>
      <c r="E5" s="747"/>
    </row>
    <row r="6" spans="2:5" s="10" customFormat="1" ht="15.75">
      <c r="B6" s="228"/>
      <c r="C6" s="229"/>
      <c r="D6" s="38"/>
      <c r="E6" s="230"/>
    </row>
    <row r="7" spans="2:5" s="10" customFormat="1" ht="15" customHeight="1">
      <c r="B7" s="751">
        <v>3</v>
      </c>
      <c r="C7" s="750" t="s">
        <v>602</v>
      </c>
      <c r="D7" s="749">
        <v>22</v>
      </c>
      <c r="E7" s="748" t="s">
        <v>967</v>
      </c>
    </row>
    <row r="8" spans="2:5" s="10" customFormat="1" ht="33.75" customHeight="1">
      <c r="B8" s="740"/>
      <c r="C8" s="743"/>
      <c r="D8" s="744"/>
      <c r="E8" s="747"/>
    </row>
    <row r="9" spans="2:5" s="10" customFormat="1" ht="15.75">
      <c r="B9" s="228"/>
      <c r="C9" s="229"/>
      <c r="D9" s="38"/>
      <c r="E9" s="230"/>
    </row>
    <row r="10" spans="2:5" s="10" customFormat="1" ht="15" customHeight="1">
      <c r="B10" s="741">
        <v>4</v>
      </c>
      <c r="C10" s="750" t="s">
        <v>603</v>
      </c>
      <c r="D10" s="745">
        <v>20</v>
      </c>
      <c r="E10" s="748" t="s">
        <v>968</v>
      </c>
    </row>
    <row r="11" spans="2:5" s="10" customFormat="1" ht="16.5" customHeight="1">
      <c r="B11" s="741"/>
      <c r="C11" s="743"/>
      <c r="D11" s="745"/>
      <c r="E11" s="747"/>
    </row>
    <row r="12" spans="2:5" s="10" customFormat="1" ht="15.75">
      <c r="B12" s="228"/>
      <c r="C12" s="229"/>
      <c r="D12" s="38"/>
      <c r="E12" s="230"/>
    </row>
    <row r="13" spans="2:5" s="10" customFormat="1" ht="19.5" customHeight="1">
      <c r="B13" s="741">
        <v>5</v>
      </c>
      <c r="C13" s="750" t="s">
        <v>604</v>
      </c>
      <c r="D13" s="745">
        <v>11</v>
      </c>
      <c r="E13" s="748" t="s">
        <v>969</v>
      </c>
    </row>
    <row r="14" spans="2:5" s="10" customFormat="1" ht="28.5" customHeight="1">
      <c r="B14" s="741"/>
      <c r="C14" s="743"/>
      <c r="D14" s="745"/>
      <c r="E14" s="747"/>
    </row>
    <row r="15" spans="2:5" s="10" customFormat="1" ht="15.75" thickBot="1">
      <c r="B15" s="231"/>
      <c r="C15" s="232"/>
      <c r="D15" s="232"/>
      <c r="E15" s="233"/>
    </row>
    <row r="16" spans="2:5" s="10" customFormat="1" ht="15.75" thickTop="1"/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</sheetData>
  <mergeCells count="16">
    <mergeCell ref="B13:B14"/>
    <mergeCell ref="C13:C14"/>
    <mergeCell ref="D13:D14"/>
    <mergeCell ref="E13:E14"/>
    <mergeCell ref="B10:B11"/>
    <mergeCell ref="C10:C11"/>
    <mergeCell ref="D10:D11"/>
    <mergeCell ref="E10:E11"/>
    <mergeCell ref="B4:B5"/>
    <mergeCell ref="C4:C5"/>
    <mergeCell ref="D4:D5"/>
    <mergeCell ref="E4:E5"/>
    <mergeCell ref="E7:E8"/>
    <mergeCell ref="D7:D8"/>
    <mergeCell ref="C7:C8"/>
    <mergeCell ref="B7:B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B1:E60"/>
  <sheetViews>
    <sheetView tabSelected="1" topLeftCell="A37" workbookViewId="0">
      <selection activeCell="B1" sqref="B1:E59"/>
    </sheetView>
  </sheetViews>
  <sheetFormatPr defaultRowHeight="15"/>
  <cols>
    <col min="1" max="1" width="4" customWidth="1"/>
    <col min="2" max="2" width="6.5703125" style="234" customWidth="1"/>
    <col min="3" max="3" width="42.5703125" style="235" customWidth="1"/>
    <col min="4" max="4" width="19.85546875" style="235" customWidth="1"/>
    <col min="5" max="5" width="21.85546875" style="235" customWidth="1"/>
  </cols>
  <sheetData>
    <row r="1" spans="2:5" ht="31.5" customHeight="1" thickTop="1" thickBot="1">
      <c r="B1" s="549" t="s">
        <v>53</v>
      </c>
      <c r="C1" s="550" t="s">
        <v>605</v>
      </c>
      <c r="D1" s="550" t="s">
        <v>68</v>
      </c>
      <c r="E1" s="551" t="s">
        <v>606</v>
      </c>
    </row>
    <row r="2" spans="2:5" ht="17.25" customHeight="1" thickTop="1">
      <c r="B2" s="752" t="s">
        <v>607</v>
      </c>
      <c r="C2" s="753"/>
      <c r="D2" s="753"/>
      <c r="E2" s="754"/>
    </row>
    <row r="3" spans="2:5">
      <c r="B3" s="236" t="s">
        <v>56</v>
      </c>
      <c r="C3" s="237" t="s">
        <v>608</v>
      </c>
      <c r="D3" s="238"/>
      <c r="E3" s="239"/>
    </row>
    <row r="4" spans="2:5">
      <c r="B4" s="240"/>
      <c r="C4" s="241" t="s">
        <v>625</v>
      </c>
      <c r="D4" s="242">
        <f>'Cash Flow'!G17</f>
        <v>2242006413.1786489</v>
      </c>
      <c r="E4" s="243">
        <f>D4</f>
        <v>2242006413.1786489</v>
      </c>
    </row>
    <row r="5" spans="2:5">
      <c r="B5" s="240"/>
      <c r="C5" s="241" t="s">
        <v>624</v>
      </c>
      <c r="D5" s="242"/>
      <c r="E5" s="244">
        <f>D5</f>
        <v>0</v>
      </c>
    </row>
    <row r="6" spans="2:5">
      <c r="B6" s="240"/>
      <c r="C6" s="241"/>
      <c r="D6" s="241"/>
      <c r="E6" s="244"/>
    </row>
    <row r="7" spans="2:5">
      <c r="B7" s="240" t="s">
        <v>57</v>
      </c>
      <c r="C7" s="242" t="s">
        <v>609</v>
      </c>
      <c r="D7" s="241"/>
      <c r="E7" s="244"/>
    </row>
    <row r="8" spans="2:5">
      <c r="B8" s="240"/>
      <c r="C8" s="241" t="s">
        <v>610</v>
      </c>
      <c r="D8" s="241">
        <f>'Cash Flow'!K18</f>
        <v>2562192041.503068</v>
      </c>
      <c r="E8" s="244"/>
    </row>
    <row r="9" spans="2:5">
      <c r="B9" s="240"/>
      <c r="C9" s="241" t="s">
        <v>626</v>
      </c>
      <c r="D9" s="241">
        <f>-D8*10%</f>
        <v>-256219204.15030682</v>
      </c>
      <c r="E9" s="244"/>
    </row>
    <row r="10" spans="2:5">
      <c r="B10" s="240"/>
      <c r="C10" s="241" t="s">
        <v>77</v>
      </c>
      <c r="D10" s="241">
        <f>-D8*5%</f>
        <v>-128109602.07515341</v>
      </c>
      <c r="E10" s="244"/>
    </row>
    <row r="11" spans="2:5">
      <c r="B11" s="240"/>
      <c r="C11" s="241"/>
      <c r="D11" s="242">
        <f>SUM(D8:D10)</f>
        <v>2177863235.2776079</v>
      </c>
      <c r="E11" s="243">
        <f>D11</f>
        <v>2177863235.2776079</v>
      </c>
    </row>
    <row r="12" spans="2:5">
      <c r="B12" s="240"/>
      <c r="C12" s="241" t="s">
        <v>624</v>
      </c>
      <c r="D12" s="242">
        <f>'Cash Flow'!J21+'Cash Flow'!M21+'Cash Flow'!N21</f>
        <v>2268527398</v>
      </c>
      <c r="E12" s="243">
        <f>D12</f>
        <v>2268527398</v>
      </c>
    </row>
    <row r="13" spans="2:5">
      <c r="B13" s="240"/>
      <c r="C13" s="241"/>
      <c r="D13" s="242"/>
      <c r="E13" s="243"/>
    </row>
    <row r="14" spans="2:5">
      <c r="B14" s="240" t="s">
        <v>58</v>
      </c>
      <c r="C14" s="242" t="s">
        <v>611</v>
      </c>
      <c r="D14" s="242"/>
      <c r="E14" s="244"/>
    </row>
    <row r="15" spans="2:5">
      <c r="B15" s="240"/>
      <c r="C15" s="241" t="s">
        <v>612</v>
      </c>
      <c r="D15" s="241">
        <f>'Cash Flow'!O18</f>
        <v>4076375296.6884522</v>
      </c>
      <c r="E15" s="244"/>
    </row>
    <row r="16" spans="2:5">
      <c r="B16" s="240"/>
      <c r="C16" s="241" t="s">
        <v>626</v>
      </c>
      <c r="D16" s="241">
        <f>-D15*10%</f>
        <v>-407637529.66884524</v>
      </c>
      <c r="E16" s="244"/>
    </row>
    <row r="17" spans="2:5">
      <c r="B17" s="240"/>
      <c r="C17" s="241" t="s">
        <v>77</v>
      </c>
      <c r="D17" s="241">
        <f>-D15*5%</f>
        <v>-203818764.83442262</v>
      </c>
      <c r="E17" s="244"/>
    </row>
    <row r="18" spans="2:5">
      <c r="B18" s="240"/>
      <c r="C18" s="241"/>
      <c r="D18" s="242">
        <f>SUM(D15:D17)</f>
        <v>3464919002.1851845</v>
      </c>
      <c r="E18" s="243">
        <f>D18</f>
        <v>3464919002.1851845</v>
      </c>
    </row>
    <row r="19" spans="2:5">
      <c r="B19" s="240"/>
      <c r="C19" s="241" t="s">
        <v>624</v>
      </c>
      <c r="D19" s="242">
        <f>'Cash Flow'!R21</f>
        <v>611568773</v>
      </c>
      <c r="E19" s="243">
        <f>D19</f>
        <v>611568773</v>
      </c>
    </row>
    <row r="20" spans="2:5">
      <c r="B20" s="240"/>
      <c r="C20" s="241"/>
      <c r="D20" s="242"/>
      <c r="E20" s="243"/>
    </row>
    <row r="21" spans="2:5">
      <c r="B21" s="240" t="s">
        <v>59</v>
      </c>
      <c r="C21" s="242" t="s">
        <v>613</v>
      </c>
      <c r="D21" s="241"/>
      <c r="E21" s="244"/>
    </row>
    <row r="22" spans="2:5">
      <c r="B22" s="240"/>
      <c r="C22" s="241" t="s">
        <v>614</v>
      </c>
      <c r="D22" s="241">
        <f>'Cash Flow'!S18</f>
        <v>4076375296.6884508</v>
      </c>
      <c r="E22" s="244"/>
    </row>
    <row r="23" spans="2:5">
      <c r="B23" s="240"/>
      <c r="C23" s="241" t="s">
        <v>626</v>
      </c>
      <c r="D23" s="241">
        <f>-D22*10%</f>
        <v>-407637529.66884512</v>
      </c>
      <c r="E23" s="244"/>
    </row>
    <row r="24" spans="2:5">
      <c r="B24" s="240"/>
      <c r="C24" s="241" t="s">
        <v>77</v>
      </c>
      <c r="D24" s="241">
        <f>-D22*5%</f>
        <v>-203818764.83442256</v>
      </c>
      <c r="E24" s="244"/>
    </row>
    <row r="25" spans="2:5">
      <c r="B25" s="240"/>
      <c r="C25" s="241"/>
      <c r="D25" s="242">
        <f>SUM(D22:D24)</f>
        <v>3464919002.185183</v>
      </c>
      <c r="E25" s="243">
        <f>D25</f>
        <v>3464919002.185183</v>
      </c>
    </row>
    <row r="26" spans="2:5">
      <c r="B26" s="240"/>
      <c r="C26" s="241" t="s">
        <v>624</v>
      </c>
      <c r="D26" s="242">
        <f>'Cash Flow'!V21</f>
        <v>611458766</v>
      </c>
      <c r="E26" s="243">
        <f>D26</f>
        <v>611458766</v>
      </c>
    </row>
    <row r="27" spans="2:5">
      <c r="B27" s="240"/>
      <c r="C27" s="241"/>
      <c r="D27" s="242"/>
      <c r="E27" s="243"/>
    </row>
    <row r="28" spans="2:5">
      <c r="B28" s="240" t="s">
        <v>60</v>
      </c>
      <c r="C28" s="242" t="s">
        <v>615</v>
      </c>
      <c r="D28" s="241"/>
      <c r="E28" s="244"/>
    </row>
    <row r="29" spans="2:5">
      <c r="B29" s="240"/>
      <c r="C29" s="241" t="s">
        <v>616</v>
      </c>
      <c r="D29" s="241">
        <f>'Cash Flow'!W18</f>
        <v>4076375296.6884503</v>
      </c>
      <c r="E29" s="244"/>
    </row>
    <row r="30" spans="2:5">
      <c r="B30" s="240"/>
      <c r="C30" s="241" t="s">
        <v>626</v>
      </c>
      <c r="D30" s="241">
        <f>-D29*10%</f>
        <v>-407637529.66884506</v>
      </c>
      <c r="E30" s="244"/>
    </row>
    <row r="31" spans="2:5">
      <c r="B31" s="240"/>
      <c r="C31" s="241" t="s">
        <v>77</v>
      </c>
      <c r="D31" s="241">
        <f>-D29*5%</f>
        <v>-203818764.83442253</v>
      </c>
      <c r="E31" s="244"/>
    </row>
    <row r="32" spans="2:5">
      <c r="B32" s="240"/>
      <c r="C32" s="241"/>
      <c r="D32" s="242">
        <f>SUM(D29:D31)</f>
        <v>3464919002.1851826</v>
      </c>
      <c r="E32" s="243">
        <f>D32</f>
        <v>3464919002.1851826</v>
      </c>
    </row>
    <row r="33" spans="2:5">
      <c r="B33" s="240"/>
      <c r="C33" s="241" t="s">
        <v>624</v>
      </c>
      <c r="D33" s="242">
        <f>'Cash Flow'!Z21</f>
        <v>611458766</v>
      </c>
      <c r="E33" s="243">
        <f>D33</f>
        <v>611458766</v>
      </c>
    </row>
    <row r="34" spans="2:5">
      <c r="B34" s="240"/>
      <c r="C34" s="241"/>
      <c r="D34" s="242"/>
      <c r="E34" s="243"/>
    </row>
    <row r="35" spans="2:5">
      <c r="B35" s="240" t="s">
        <v>617</v>
      </c>
      <c r="C35" s="242" t="s">
        <v>960</v>
      </c>
      <c r="D35" s="241"/>
      <c r="E35" s="244"/>
    </row>
    <row r="36" spans="2:5">
      <c r="B36" s="240"/>
      <c r="C36" s="241" t="s">
        <v>959</v>
      </c>
      <c r="D36" s="241">
        <f>'Cash Flow'!AD18</f>
        <v>7628746200.2180538</v>
      </c>
      <c r="E36" s="244"/>
    </row>
    <row r="37" spans="2:5">
      <c r="B37" s="240"/>
      <c r="C37" s="241" t="s">
        <v>626</v>
      </c>
      <c r="D37" s="241">
        <f>-D36*10%</f>
        <v>-762874620.02180541</v>
      </c>
      <c r="E37" s="244"/>
    </row>
    <row r="38" spans="2:5">
      <c r="B38" s="240"/>
      <c r="C38" s="241" t="s">
        <v>77</v>
      </c>
      <c r="D38" s="241">
        <f>-D36*5%</f>
        <v>-381437310.0109027</v>
      </c>
      <c r="E38" s="244"/>
    </row>
    <row r="39" spans="2:5">
      <c r="B39" s="240"/>
      <c r="C39" s="241"/>
      <c r="D39" s="242">
        <f>SUM(D36:D38)</f>
        <v>6484434270.1853456</v>
      </c>
      <c r="E39" s="243">
        <f>D39</f>
        <v>6484434270.1853456</v>
      </c>
    </row>
    <row r="40" spans="2:5">
      <c r="B40" s="240"/>
      <c r="C40" s="241" t="s">
        <v>624</v>
      </c>
      <c r="D40" s="242">
        <f>'Cash Flow'!AA21+'Cash Flow'!AB21</f>
        <v>2830457550</v>
      </c>
      <c r="E40" s="243">
        <f>D40</f>
        <v>2830457550</v>
      </c>
    </row>
    <row r="41" spans="2:5">
      <c r="B41" s="240">
        <v>8</v>
      </c>
      <c r="C41" s="242" t="s">
        <v>618</v>
      </c>
      <c r="D41" s="242">
        <f>'[8]cash flow'!BR22</f>
        <v>4256524545.9660187</v>
      </c>
      <c r="E41" s="243">
        <f>'Cash Flow'!F7</f>
        <v>1121003206.5893245</v>
      </c>
    </row>
    <row r="42" spans="2:5" ht="15.75" thickBot="1">
      <c r="B42" s="245"/>
      <c r="C42" s="241" t="s">
        <v>970</v>
      </c>
      <c r="D42" s="246"/>
      <c r="E42" s="247"/>
    </row>
    <row r="43" spans="2:5" ht="16.5" thickTop="1" thickBot="1">
      <c r="B43" s="755" t="s">
        <v>619</v>
      </c>
      <c r="C43" s="756"/>
      <c r="D43" s="757"/>
      <c r="E43" s="538">
        <f>SUM(E3:E41)</f>
        <v>29353535384.786476</v>
      </c>
    </row>
    <row r="44" spans="2:5" ht="17.25" customHeight="1" thickTop="1">
      <c r="B44" s="752" t="s">
        <v>620</v>
      </c>
      <c r="C44" s="753"/>
      <c r="D44" s="753"/>
      <c r="E44" s="754"/>
    </row>
    <row r="45" spans="2:5">
      <c r="B45" s="248"/>
      <c r="C45" s="238"/>
      <c r="D45" s="237"/>
      <c r="E45" s="249"/>
    </row>
    <row r="46" spans="2:5">
      <c r="B46" s="240" t="s">
        <v>56</v>
      </c>
      <c r="C46" s="241" t="s">
        <v>590</v>
      </c>
      <c r="D46" s="242">
        <f>'Rekap RAB '!D10</f>
        <v>5764048324.7472649</v>
      </c>
      <c r="E46" s="243">
        <f>D46</f>
        <v>5764048324.7472649</v>
      </c>
    </row>
    <row r="47" spans="2:5">
      <c r="B47" s="240"/>
      <c r="C47" s="241"/>
      <c r="D47" s="242"/>
      <c r="E47" s="243"/>
    </row>
    <row r="48" spans="2:5">
      <c r="B48" s="240" t="s">
        <v>58</v>
      </c>
      <c r="C48" s="241" t="s">
        <v>937</v>
      </c>
      <c r="D48" s="242">
        <f>'Rekap RAB '!D12</f>
        <v>9426752903.5066853</v>
      </c>
      <c r="E48" s="243">
        <f>D48</f>
        <v>9426752903.5066853</v>
      </c>
    </row>
    <row r="49" spans="2:5">
      <c r="B49" s="240"/>
      <c r="C49" s="241"/>
      <c r="D49" s="242"/>
      <c r="E49" s="243"/>
    </row>
    <row r="50" spans="2:5">
      <c r="B50" s="240" t="s">
        <v>59</v>
      </c>
      <c r="C50" s="241" t="s">
        <v>592</v>
      </c>
      <c r="D50" s="242">
        <f>'Rekap RAB '!D14</f>
        <v>6477290556.2046204</v>
      </c>
      <c r="E50" s="243">
        <f>D50</f>
        <v>6477290556.2046204</v>
      </c>
    </row>
    <row r="51" spans="2:5">
      <c r="B51" s="240"/>
      <c r="C51" s="241"/>
      <c r="D51" s="242"/>
      <c r="E51" s="243"/>
    </row>
    <row r="52" spans="2:5">
      <c r="B52" s="240" t="s">
        <v>60</v>
      </c>
      <c r="C52" s="241" t="s">
        <v>593</v>
      </c>
      <c r="D52" s="242">
        <f>'Rekap RAB '!D16</f>
        <v>751972347.3279146</v>
      </c>
      <c r="E52" s="243">
        <f>D52</f>
        <v>751972347.3279146</v>
      </c>
    </row>
    <row r="53" spans="2:5">
      <c r="B53" s="240"/>
      <c r="C53" s="241"/>
      <c r="D53" s="242"/>
      <c r="E53" s="243"/>
    </row>
    <row r="54" spans="2:5">
      <c r="B54" s="240">
        <v>6</v>
      </c>
      <c r="C54" s="241" t="s">
        <v>621</v>
      </c>
      <c r="D54" s="242">
        <f>'Cash Flow'!F31</f>
        <v>6933471253</v>
      </c>
      <c r="E54" s="243">
        <f>D54</f>
        <v>6933471253</v>
      </c>
    </row>
    <row r="55" spans="2:5">
      <c r="B55" s="240"/>
      <c r="C55" s="241" t="s">
        <v>942</v>
      </c>
      <c r="D55" s="242"/>
      <c r="E55" s="243"/>
    </row>
    <row r="56" spans="2:5" ht="15.75" thickBot="1">
      <c r="B56" s="250"/>
      <c r="C56" s="241"/>
      <c r="D56" s="242"/>
      <c r="E56" s="243"/>
    </row>
    <row r="57" spans="2:5" ht="16.5" thickTop="1" thickBot="1">
      <c r="B57" s="755" t="s">
        <v>622</v>
      </c>
      <c r="C57" s="756"/>
      <c r="D57" s="757"/>
      <c r="E57" s="538">
        <f>SUM(E46:E54)</f>
        <v>29353535384.786488</v>
      </c>
    </row>
    <row r="58" spans="2:5" ht="9" customHeight="1" thickTop="1" thickBot="1">
      <c r="B58" s="251"/>
      <c r="C58" s="252"/>
      <c r="D58" s="253"/>
      <c r="E58" s="254"/>
    </row>
    <row r="59" spans="2:5" ht="16.5" thickTop="1" thickBot="1">
      <c r="B59" s="758" t="s">
        <v>623</v>
      </c>
      <c r="C59" s="759"/>
      <c r="D59" s="760"/>
      <c r="E59" s="255">
        <f>E43-E57</f>
        <v>0</v>
      </c>
    </row>
    <row r="60" spans="2:5" ht="15.75" thickTop="1"/>
  </sheetData>
  <mergeCells count="5">
    <mergeCell ref="B2:E2"/>
    <mergeCell ref="B43:D43"/>
    <mergeCell ref="B44:E44"/>
    <mergeCell ref="B57:D57"/>
    <mergeCell ref="B59:D5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AY46"/>
  <sheetViews>
    <sheetView view="pageBreakPreview" topLeftCell="F1" zoomScale="25" zoomScaleNormal="70" zoomScaleSheetLayoutView="25" zoomScalePageLayoutView="60" workbookViewId="0">
      <selection activeCell="F21" sqref="F21"/>
    </sheetView>
  </sheetViews>
  <sheetFormatPr defaultRowHeight="15.75"/>
  <cols>
    <col min="1" max="1" width="2.5703125" style="63" customWidth="1"/>
    <col min="2" max="2" width="5.85546875" style="15" customWidth="1"/>
    <col min="3" max="3" width="9.140625" style="15"/>
    <col min="4" max="4" width="29.5703125" style="15" customWidth="1"/>
    <col min="5" max="5" width="10.7109375" style="65" customWidth="1"/>
    <col min="6" max="6" width="27.5703125" style="15" customWidth="1"/>
    <col min="7" max="7" width="28.140625" style="20" customWidth="1"/>
    <col min="8" max="8" width="25.140625" style="20" customWidth="1"/>
    <col min="9" max="9" width="28" style="20" customWidth="1"/>
    <col min="10" max="10" width="25.5703125" style="20" customWidth="1"/>
    <col min="11" max="11" width="25.85546875" style="20" customWidth="1"/>
    <col min="12" max="12" width="27.7109375" style="20" customWidth="1"/>
    <col min="13" max="13" width="25.140625" style="20" customWidth="1"/>
    <col min="14" max="14" width="27.7109375" style="20" customWidth="1"/>
    <col min="15" max="15" width="30" style="20" customWidth="1"/>
    <col min="16" max="16" width="24.85546875" style="20" customWidth="1"/>
    <col min="17" max="17" width="29.7109375" style="20" customWidth="1"/>
    <col min="18" max="18" width="24.85546875" style="20" customWidth="1"/>
    <col min="19" max="19" width="27.5703125" style="20" customWidth="1"/>
    <col min="20" max="20" width="27.7109375" style="20" customWidth="1"/>
    <col min="21" max="21" width="27" style="20" customWidth="1"/>
    <col min="22" max="22" width="24.5703125" style="15" customWidth="1"/>
    <col min="23" max="23" width="24.85546875" style="15" customWidth="1"/>
    <col min="24" max="24" width="27" style="15" customWidth="1"/>
    <col min="25" max="25" width="27" style="20" customWidth="1"/>
    <col min="26" max="26" width="24.5703125" style="15" customWidth="1"/>
    <col min="27" max="27" width="24.85546875" style="15" customWidth="1"/>
    <col min="28" max="30" width="25.42578125" style="15" customWidth="1"/>
    <col min="31" max="31" width="28.42578125" style="20" customWidth="1"/>
    <col min="32" max="32" width="2.5703125" style="63" customWidth="1"/>
    <col min="33" max="33" width="7.5703125" style="63" customWidth="1"/>
    <col min="34" max="34" width="31.7109375" style="63" customWidth="1"/>
    <col min="35" max="51" width="9.140625" style="63"/>
    <col min="52" max="16384" width="9.140625" style="15"/>
  </cols>
  <sheetData>
    <row r="1" spans="1:51">
      <c r="B1" s="64" t="s">
        <v>74</v>
      </c>
    </row>
    <row r="2" spans="1:51">
      <c r="B2" s="64" t="s">
        <v>964</v>
      </c>
    </row>
    <row r="3" spans="1:51">
      <c r="B3" s="64" t="s">
        <v>596</v>
      </c>
    </row>
    <row r="5" spans="1:51">
      <c r="B5" s="64" t="s">
        <v>75</v>
      </c>
      <c r="C5" s="64"/>
      <c r="D5" s="64"/>
      <c r="E5" s="66" t="s">
        <v>76</v>
      </c>
      <c r="F5" s="67">
        <f>'Rekap RAB '!D18</f>
        <v>22420064131.786488</v>
      </c>
      <c r="H5" s="118"/>
    </row>
    <row r="6" spans="1:51">
      <c r="B6" s="64" t="s">
        <v>595</v>
      </c>
      <c r="C6" s="64"/>
      <c r="D6" s="64"/>
      <c r="E6" s="66" t="s">
        <v>76</v>
      </c>
      <c r="F6" s="67">
        <f>10%*F5</f>
        <v>2242006413.1786489</v>
      </c>
      <c r="V6" s="16"/>
      <c r="Z6" s="16"/>
    </row>
    <row r="7" spans="1:51">
      <c r="B7" s="64" t="s">
        <v>77</v>
      </c>
      <c r="C7" s="64"/>
      <c r="D7" s="64"/>
      <c r="E7" s="66" t="s">
        <v>76</v>
      </c>
      <c r="F7" s="67">
        <f>5%*F5</f>
        <v>1121003206.5893245</v>
      </c>
    </row>
    <row r="8" spans="1:51" ht="16.5" thickBot="1"/>
    <row r="9" spans="1:51" s="69" customFormat="1" ht="16.5" thickTop="1">
      <c r="A9" s="68"/>
      <c r="B9" s="778" t="s">
        <v>66</v>
      </c>
      <c r="C9" s="780" t="s">
        <v>1</v>
      </c>
      <c r="D9" s="780"/>
      <c r="E9" s="780"/>
      <c r="F9" s="780" t="s">
        <v>78</v>
      </c>
      <c r="G9" s="783" t="s">
        <v>79</v>
      </c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5"/>
      <c r="AE9" s="616" t="s">
        <v>627</v>
      </c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</row>
    <row r="10" spans="1:51" s="71" customFormat="1" ht="33" customHeight="1" thickBot="1">
      <c r="A10" s="70"/>
      <c r="B10" s="779"/>
      <c r="C10" s="781"/>
      <c r="D10" s="781"/>
      <c r="E10" s="781"/>
      <c r="F10" s="781"/>
      <c r="G10" s="770">
        <v>1</v>
      </c>
      <c r="H10" s="771"/>
      <c r="I10" s="771"/>
      <c r="J10" s="782"/>
      <c r="K10" s="769">
        <v>2</v>
      </c>
      <c r="L10" s="769"/>
      <c r="M10" s="769"/>
      <c r="N10" s="769"/>
      <c r="O10" s="769">
        <v>3</v>
      </c>
      <c r="P10" s="769"/>
      <c r="Q10" s="769"/>
      <c r="R10" s="769"/>
      <c r="S10" s="769">
        <v>4</v>
      </c>
      <c r="T10" s="769"/>
      <c r="U10" s="769"/>
      <c r="V10" s="769"/>
      <c r="W10" s="770">
        <v>5</v>
      </c>
      <c r="X10" s="771"/>
      <c r="Y10" s="771"/>
      <c r="Z10" s="771"/>
      <c r="AA10" s="770">
        <v>6</v>
      </c>
      <c r="AB10" s="771"/>
      <c r="AC10" s="553"/>
      <c r="AD10" s="608"/>
      <c r="AE10" s="273" t="s">
        <v>87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</row>
    <row r="11" spans="1:51" ht="16.5" thickTop="1">
      <c r="B11" s="72"/>
      <c r="C11" s="73"/>
      <c r="D11" s="74"/>
      <c r="E11" s="75"/>
      <c r="F11" s="7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6"/>
      <c r="W11" s="76"/>
      <c r="X11" s="76"/>
      <c r="Y11" s="77"/>
      <c r="Z11" s="76"/>
      <c r="AA11" s="76"/>
      <c r="AB11" s="618"/>
      <c r="AC11" s="620"/>
      <c r="AD11" s="74"/>
      <c r="AE11" s="398"/>
    </row>
    <row r="12" spans="1:51">
      <c r="B12" s="72"/>
      <c r="C12" s="73" t="s">
        <v>80</v>
      </c>
      <c r="D12" s="74"/>
      <c r="E12" s="75"/>
      <c r="F12" s="78">
        <f>F5</f>
        <v>22420064131.786488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  <c r="X12" s="80"/>
      <c r="Y12" s="79"/>
      <c r="Z12" s="80"/>
      <c r="AA12" s="80"/>
      <c r="AB12" s="80"/>
      <c r="AC12" s="621"/>
      <c r="AD12" s="91"/>
      <c r="AE12" s="399"/>
    </row>
    <row r="13" spans="1:51" s="88" customFormat="1">
      <c r="A13" s="81"/>
      <c r="B13" s="82"/>
      <c r="C13" s="83" t="s">
        <v>81</v>
      </c>
      <c r="D13" s="84"/>
      <c r="E13" s="85"/>
      <c r="F13" s="86"/>
      <c r="G13" s="87">
        <f>TS!G24</f>
        <v>1.1686059194093132</v>
      </c>
      <c r="H13" s="87">
        <f>TS!H24</f>
        <v>1.1686059194093132</v>
      </c>
      <c r="I13" s="87">
        <f>TS!I24</f>
        <v>4.3929993114228196</v>
      </c>
      <c r="J13" s="546">
        <f>TS!J24</f>
        <v>4.6979097794862694</v>
      </c>
      <c r="K13" s="87">
        <f>TS!K24</f>
        <v>4.6979097794862694</v>
      </c>
      <c r="L13" s="87">
        <f>TS!L24</f>
        <v>4.3929993114228196</v>
      </c>
      <c r="M13" s="87">
        <f>TS!M24</f>
        <v>4.3929993114228196</v>
      </c>
      <c r="N13" s="546">
        <f>TS!N24</f>
        <v>4.6979097794862694</v>
      </c>
      <c r="O13" s="87">
        <f>TS!O24</f>
        <v>4.6979097794862694</v>
      </c>
      <c r="P13" s="87">
        <f>TS!P24</f>
        <v>4.3929993114228196</v>
      </c>
      <c r="Q13" s="87">
        <f>TS!Q24</f>
        <v>4.3929993114228196</v>
      </c>
      <c r="R13" s="546">
        <f>TS!R24</f>
        <v>4.6979097794862694</v>
      </c>
      <c r="S13" s="87">
        <f>TS!S24</f>
        <v>4.6979097794862694</v>
      </c>
      <c r="T13" s="87">
        <f>TS!T24</f>
        <v>4.3929993114228196</v>
      </c>
      <c r="U13" s="87">
        <f>TS!U24</f>
        <v>4.3929993114228196</v>
      </c>
      <c r="V13" s="546">
        <f>TS!V24</f>
        <v>4.6979097794862694</v>
      </c>
      <c r="W13" s="87">
        <f>TS!W24</f>
        <v>4.6979097794862694</v>
      </c>
      <c r="X13" s="87">
        <f>TS!X24</f>
        <v>4.3929993114228196</v>
      </c>
      <c r="Y13" s="87">
        <f>TS!Y24</f>
        <v>4.3929993114228196</v>
      </c>
      <c r="Z13" s="87">
        <f>TS!Z24</f>
        <v>4.6979097794862694</v>
      </c>
      <c r="AA13" s="87">
        <f>TS!AA24</f>
        <v>4.6979097794862694</v>
      </c>
      <c r="AB13" s="546">
        <f>TS!AB24</f>
        <v>4.3929993114228196</v>
      </c>
      <c r="AC13" s="622">
        <f>TS!AC24</f>
        <v>3.5293038600769568</v>
      </c>
      <c r="AD13" s="609">
        <f>TS!AD24</f>
        <v>3.2243933920135066</v>
      </c>
      <c r="AE13" s="400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</row>
    <row r="14" spans="1:51" s="88" customFormat="1">
      <c r="A14" s="81"/>
      <c r="B14" s="82"/>
      <c r="C14" s="83" t="s">
        <v>82</v>
      </c>
      <c r="D14" s="84"/>
      <c r="E14" s="85"/>
      <c r="F14" s="86"/>
      <c r="G14" s="87">
        <f>G13</f>
        <v>1.1686059194093132</v>
      </c>
      <c r="H14" s="87">
        <f>H13+G14</f>
        <v>2.3372118388186265</v>
      </c>
      <c r="I14" s="87">
        <f>I13+H14</f>
        <v>6.7302111502414466</v>
      </c>
      <c r="J14" s="546">
        <f>J13+I14</f>
        <v>11.428120929727715</v>
      </c>
      <c r="K14" s="87">
        <f t="shared" ref="K14:AA14" si="0">K13+J14</f>
        <v>16.126030709213985</v>
      </c>
      <c r="L14" s="87">
        <f t="shared" si="0"/>
        <v>20.519030020636805</v>
      </c>
      <c r="M14" s="87">
        <f t="shared" si="0"/>
        <v>24.912029332059625</v>
      </c>
      <c r="N14" s="546">
        <f t="shared" si="0"/>
        <v>29.609939111545895</v>
      </c>
      <c r="O14" s="87">
        <f t="shared" si="0"/>
        <v>34.307848891032165</v>
      </c>
      <c r="P14" s="87">
        <f t="shared" si="0"/>
        <v>38.700848202454985</v>
      </c>
      <c r="Q14" s="87">
        <f t="shared" si="0"/>
        <v>43.093847513877805</v>
      </c>
      <c r="R14" s="546">
        <f t="shared" si="0"/>
        <v>47.791757293364071</v>
      </c>
      <c r="S14" s="87">
        <f t="shared" si="0"/>
        <v>52.489667072850338</v>
      </c>
      <c r="T14" s="87">
        <f t="shared" si="0"/>
        <v>56.882666384273158</v>
      </c>
      <c r="U14" s="87">
        <f t="shared" si="0"/>
        <v>61.275665695695977</v>
      </c>
      <c r="V14" s="546">
        <f t="shared" si="0"/>
        <v>65.973575475182244</v>
      </c>
      <c r="W14" s="87">
        <f t="shared" si="0"/>
        <v>70.671485254668511</v>
      </c>
      <c r="X14" s="87">
        <f t="shared" si="0"/>
        <v>75.064484566091323</v>
      </c>
      <c r="Y14" s="87">
        <f t="shared" si="0"/>
        <v>79.457483877514136</v>
      </c>
      <c r="Z14" s="87">
        <f t="shared" si="0"/>
        <v>84.155393657000403</v>
      </c>
      <c r="AA14" s="87">
        <f t="shared" si="0"/>
        <v>88.853303436486669</v>
      </c>
      <c r="AB14" s="546">
        <f>AB13+AA14</f>
        <v>93.246302747909482</v>
      </c>
      <c r="AC14" s="617">
        <f t="shared" ref="AC14" si="1">AC13+AB14</f>
        <v>96.775606607986433</v>
      </c>
      <c r="AD14" s="609">
        <f>AD13+AC14</f>
        <v>99.999999999999943</v>
      </c>
      <c r="AE14" s="400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</row>
    <row r="15" spans="1:51">
      <c r="B15" s="72"/>
      <c r="C15" s="73"/>
      <c r="D15" s="74"/>
      <c r="E15" s="75"/>
      <c r="F15" s="76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/>
      <c r="W15" s="80"/>
      <c r="X15" s="80"/>
      <c r="Y15" s="79"/>
      <c r="Z15" s="80"/>
      <c r="AA15" s="80"/>
      <c r="AB15" s="80"/>
      <c r="AC15" s="621"/>
      <c r="AD15" s="91"/>
      <c r="AE15" s="399"/>
    </row>
    <row r="16" spans="1:51">
      <c r="B16" s="72" t="s">
        <v>83</v>
      </c>
      <c r="C16" s="73" t="s">
        <v>84</v>
      </c>
      <c r="D16" s="74"/>
      <c r="E16" s="75"/>
      <c r="F16" s="76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0"/>
      <c r="X16" s="80"/>
      <c r="Y16" s="79"/>
      <c r="Z16" s="80"/>
      <c r="AA16" s="80"/>
      <c r="AB16" s="80"/>
      <c r="AC16" s="621"/>
      <c r="AD16" s="91"/>
      <c r="AE16" s="399"/>
    </row>
    <row r="17" spans="1:51">
      <c r="B17" s="89">
        <v>1</v>
      </c>
      <c r="C17" s="90" t="s">
        <v>594</v>
      </c>
      <c r="D17" s="91"/>
      <c r="E17" s="92"/>
      <c r="F17" s="93">
        <f>10%*F5</f>
        <v>2242006413.1786489</v>
      </c>
      <c r="G17" s="94">
        <f>F17</f>
        <v>2242006413.1786489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3"/>
      <c r="W17" s="93"/>
      <c r="X17" s="93"/>
      <c r="Y17" s="94"/>
      <c r="Z17" s="93"/>
      <c r="AA17" s="93"/>
      <c r="AB17" s="93"/>
      <c r="AC17" s="623"/>
      <c r="AD17" s="610"/>
      <c r="AE17" s="401"/>
      <c r="AH17" s="95">
        <f t="shared" ref="AH17:AH23" si="2">SUM(G17:AB17)</f>
        <v>2242006413.1786489</v>
      </c>
    </row>
    <row r="18" spans="1:51">
      <c r="B18" s="89">
        <v>2</v>
      </c>
      <c r="C18" s="90" t="s">
        <v>85</v>
      </c>
      <c r="D18" s="91"/>
      <c r="E18" s="92"/>
      <c r="F18" s="93">
        <f>F5</f>
        <v>22420064131.786488</v>
      </c>
      <c r="G18" s="94"/>
      <c r="H18" s="94"/>
      <c r="I18" s="94"/>
      <c r="J18" s="94"/>
      <c r="K18" s="547">
        <f>(J14*F18)/100</f>
        <v>2562192041.503068</v>
      </c>
      <c r="L18" s="94"/>
      <c r="M18" s="94"/>
      <c r="N18" s="94"/>
      <c r="O18" s="547">
        <f>(N14-J14)*$F$18/100</f>
        <v>4076375296.6884522</v>
      </c>
      <c r="P18" s="94"/>
      <c r="Q18" s="94"/>
      <c r="R18" s="94"/>
      <c r="S18" s="547">
        <f>(R14-N14)*$F$18/100</f>
        <v>4076375296.6884508</v>
      </c>
      <c r="T18" s="94"/>
      <c r="U18" s="94"/>
      <c r="V18" s="93"/>
      <c r="W18" s="547">
        <f>(V14-R14)*$F$18/100</f>
        <v>4076375296.6884503</v>
      </c>
      <c r="X18" s="93"/>
      <c r="Y18" s="94"/>
      <c r="Z18" s="93"/>
      <c r="AA18" s="94"/>
      <c r="AB18" s="547"/>
      <c r="AC18" s="624"/>
      <c r="AD18" s="611">
        <f>(AD14-V14)*F18/100</f>
        <v>7628746200.2180538</v>
      </c>
      <c r="AE18" s="401"/>
      <c r="AH18" s="95">
        <f t="shared" si="2"/>
        <v>14791317931.56842</v>
      </c>
    </row>
    <row r="19" spans="1:51">
      <c r="B19" s="89"/>
      <c r="C19" s="90" t="s">
        <v>86</v>
      </c>
      <c r="D19" s="91"/>
      <c r="E19" s="92"/>
      <c r="F19" s="93">
        <f>-10%*F18</f>
        <v>-2242006413.1786489</v>
      </c>
      <c r="G19" s="94"/>
      <c r="H19" s="94"/>
      <c r="I19" s="94"/>
      <c r="J19" s="94"/>
      <c r="K19" s="547">
        <f>-K18*10%</f>
        <v>-256219204.15030682</v>
      </c>
      <c r="L19" s="94"/>
      <c r="M19" s="94"/>
      <c r="N19" s="94"/>
      <c r="O19" s="547">
        <f>-O18*10%</f>
        <v>-407637529.66884524</v>
      </c>
      <c r="P19" s="94"/>
      <c r="Q19" s="94"/>
      <c r="R19" s="94"/>
      <c r="S19" s="547">
        <f>-S18*10%</f>
        <v>-407637529.66884512</v>
      </c>
      <c r="T19" s="94"/>
      <c r="U19" s="94"/>
      <c r="V19" s="94"/>
      <c r="W19" s="547">
        <f>-W18*10%</f>
        <v>-407637529.66884506</v>
      </c>
      <c r="X19" s="94"/>
      <c r="Y19" s="94"/>
      <c r="Z19" s="94"/>
      <c r="AA19" s="94"/>
      <c r="AB19" s="547"/>
      <c r="AC19" s="624"/>
      <c r="AD19" s="611">
        <f>AD18*-10%</f>
        <v>-762874620.02180541</v>
      </c>
      <c r="AE19" s="402"/>
      <c r="AH19" s="95">
        <f t="shared" si="2"/>
        <v>-1479131793.1568422</v>
      </c>
    </row>
    <row r="20" spans="1:51">
      <c r="B20" s="89"/>
      <c r="C20" s="90" t="s">
        <v>941</v>
      </c>
      <c r="D20" s="91"/>
      <c r="E20" s="92"/>
      <c r="F20" s="93"/>
      <c r="G20" s="94"/>
      <c r="H20" s="94"/>
      <c r="I20" s="94"/>
      <c r="J20" s="94"/>
      <c r="K20" s="547">
        <f>-K18*5%</f>
        <v>-128109602.07515341</v>
      </c>
      <c r="L20" s="94"/>
      <c r="M20" s="94"/>
      <c r="N20" s="94"/>
      <c r="O20" s="547">
        <f>-O18*5%</f>
        <v>-203818764.83442262</v>
      </c>
      <c r="P20" s="94"/>
      <c r="Q20" s="94"/>
      <c r="R20" s="94"/>
      <c r="S20" s="547">
        <f>-S18*5%</f>
        <v>-203818764.83442256</v>
      </c>
      <c r="T20" s="94"/>
      <c r="U20" s="94"/>
      <c r="V20" s="94"/>
      <c r="W20" s="547">
        <f>-W18*5%</f>
        <v>-203818764.83442253</v>
      </c>
      <c r="X20" s="94"/>
      <c r="Y20" s="94"/>
      <c r="Z20" s="94"/>
      <c r="AA20" s="94"/>
      <c r="AB20" s="547"/>
      <c r="AC20" s="624"/>
      <c r="AD20" s="611">
        <f>AD18*-5%</f>
        <v>-381437310.0109027</v>
      </c>
      <c r="AE20" s="402">
        <f>F7</f>
        <v>1121003206.5893245</v>
      </c>
      <c r="AH20" s="95">
        <f t="shared" si="2"/>
        <v>-739565896.57842112</v>
      </c>
    </row>
    <row r="21" spans="1:51">
      <c r="B21" s="89">
        <v>3</v>
      </c>
      <c r="C21" s="90" t="s">
        <v>88</v>
      </c>
      <c r="D21" s="91"/>
      <c r="E21" s="92"/>
      <c r="F21" s="93">
        <f>AH21</f>
        <v>6933471253</v>
      </c>
      <c r="G21" s="94"/>
      <c r="H21" s="94"/>
      <c r="I21" s="94"/>
      <c r="J21" s="94">
        <v>369544633</v>
      </c>
      <c r="K21" s="94"/>
      <c r="L21" s="94"/>
      <c r="M21" s="94">
        <v>844899653</v>
      </c>
      <c r="N21" s="94">
        <v>1054083112</v>
      </c>
      <c r="O21" s="94"/>
      <c r="P21" s="94"/>
      <c r="Q21" s="94"/>
      <c r="R21" s="94">
        <v>611568773</v>
      </c>
      <c r="S21" s="94"/>
      <c r="T21" s="94"/>
      <c r="U21" s="94"/>
      <c r="V21" s="94">
        <v>611458766</v>
      </c>
      <c r="W21" s="93"/>
      <c r="X21" s="93"/>
      <c r="Y21" s="94"/>
      <c r="Z21" s="94">
        <v>611458766</v>
      </c>
      <c r="AA21" s="93">
        <v>1052456886</v>
      </c>
      <c r="AB21" s="93">
        <v>1778000664</v>
      </c>
      <c r="AC21" s="623"/>
      <c r="AD21" s="610"/>
      <c r="AE21" s="402"/>
      <c r="AH21" s="95">
        <f>SUM(G21:AB21)</f>
        <v>6933471253</v>
      </c>
    </row>
    <row r="22" spans="1:51">
      <c r="B22" s="96"/>
      <c r="C22" s="97"/>
      <c r="D22" s="98"/>
      <c r="E22" s="99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0"/>
      <c r="W22" s="100"/>
      <c r="X22" s="100"/>
      <c r="Y22" s="101"/>
      <c r="Z22" s="100"/>
      <c r="AA22" s="100"/>
      <c r="AB22" s="100"/>
      <c r="AC22" s="625"/>
      <c r="AD22" s="612"/>
      <c r="AE22" s="402"/>
      <c r="AH22" s="95">
        <f t="shared" si="2"/>
        <v>0</v>
      </c>
    </row>
    <row r="23" spans="1:51" s="104" customFormat="1">
      <c r="A23" s="63"/>
      <c r="B23" s="772" t="s">
        <v>89</v>
      </c>
      <c r="C23" s="773"/>
      <c r="D23" s="773"/>
      <c r="E23" s="774"/>
      <c r="F23" s="102">
        <f>SUM(F17:F21)</f>
        <v>29353535384.786488</v>
      </c>
      <c r="G23" s="103">
        <f>SUM(G17:G21)</f>
        <v>2242006413.1786489</v>
      </c>
      <c r="H23" s="103"/>
      <c r="I23" s="103">
        <f>SUM(I17:I21)</f>
        <v>0</v>
      </c>
      <c r="J23" s="103">
        <f>SUM(J17:J21)</f>
        <v>369544633</v>
      </c>
      <c r="K23" s="103">
        <f>SUM(K17:K21)</f>
        <v>2177863235.2776079</v>
      </c>
      <c r="L23" s="103"/>
      <c r="M23" s="103">
        <f t="shared" ref="M23:V23" si="3">SUM(M17:M21)</f>
        <v>844899653</v>
      </c>
      <c r="N23" s="103">
        <f t="shared" si="3"/>
        <v>1054083112</v>
      </c>
      <c r="O23" s="103">
        <f>SUM(O17:O21)</f>
        <v>3464919002.1851845</v>
      </c>
      <c r="P23" s="103"/>
      <c r="Q23" s="103"/>
      <c r="R23" s="103">
        <f t="shared" si="3"/>
        <v>611568773</v>
      </c>
      <c r="S23" s="103">
        <f t="shared" si="3"/>
        <v>3464919002.185183</v>
      </c>
      <c r="T23" s="103"/>
      <c r="U23" s="103"/>
      <c r="V23" s="103">
        <f t="shared" si="3"/>
        <v>611458766</v>
      </c>
      <c r="W23" s="103">
        <f t="shared" ref="W23" si="4">SUM(W17:W21)</f>
        <v>3464919002.1851826</v>
      </c>
      <c r="X23" s="103"/>
      <c r="Y23" s="103"/>
      <c r="Z23" s="103">
        <f>SUM(Z17:Z21)</f>
        <v>611458766</v>
      </c>
      <c r="AA23" s="103">
        <f>SUM(AA17:AA21)</f>
        <v>1052456886</v>
      </c>
      <c r="AB23" s="103">
        <f>SUM(AB17:AB21)</f>
        <v>1778000664</v>
      </c>
      <c r="AC23" s="103"/>
      <c r="AD23" s="103">
        <f>SUM(AD18:AD22)</f>
        <v>6484434270.1853456</v>
      </c>
      <c r="AE23" s="629">
        <f>SUM(AE17:AE21)</f>
        <v>1121003206.5893245</v>
      </c>
      <c r="AF23" s="63"/>
      <c r="AG23" s="63"/>
      <c r="AH23" s="95">
        <f t="shared" si="2"/>
        <v>21748097908.011806</v>
      </c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>
      <c r="B24" s="72"/>
      <c r="C24" s="73"/>
      <c r="D24" s="74"/>
      <c r="E24" s="75"/>
      <c r="F24" s="78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78"/>
      <c r="W24" s="78"/>
      <c r="X24" s="78"/>
      <c r="Y24" s="105"/>
      <c r="Z24" s="78"/>
      <c r="AA24" s="78"/>
      <c r="AB24" s="78"/>
      <c r="AC24" s="626"/>
      <c r="AD24" s="613"/>
      <c r="AE24" s="402"/>
    </row>
    <row r="25" spans="1:51">
      <c r="B25" s="89" t="s">
        <v>90</v>
      </c>
      <c r="C25" s="90" t="s">
        <v>91</v>
      </c>
      <c r="D25" s="91"/>
      <c r="E25" s="92"/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3"/>
      <c r="W25" s="93"/>
      <c r="X25" s="93"/>
      <c r="Y25" s="94"/>
      <c r="Z25" s="93"/>
      <c r="AA25" s="93"/>
      <c r="AB25" s="93"/>
      <c r="AC25" s="623"/>
      <c r="AD25" s="610"/>
      <c r="AE25" s="402"/>
    </row>
    <row r="26" spans="1:51">
      <c r="B26" s="89"/>
      <c r="C26" s="90" t="s">
        <v>92</v>
      </c>
      <c r="D26" s="91"/>
      <c r="E26" s="92"/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3"/>
      <c r="W26" s="93"/>
      <c r="X26" s="93"/>
      <c r="Y26" s="94"/>
      <c r="Z26" s="93"/>
      <c r="AA26" s="93"/>
      <c r="AB26" s="93"/>
      <c r="AC26" s="623"/>
      <c r="AD26" s="610"/>
      <c r="AE26" s="402"/>
      <c r="AH26" s="95">
        <f>SUM(G26:V26)</f>
        <v>0</v>
      </c>
    </row>
    <row r="27" spans="1:51">
      <c r="B27" s="89">
        <v>1</v>
      </c>
      <c r="C27" s="90" t="s">
        <v>590</v>
      </c>
      <c r="D27" s="91"/>
      <c r="E27" s="92"/>
      <c r="F27" s="93">
        <f>'Rekap RAB '!D10</f>
        <v>5764048324.7472649</v>
      </c>
      <c r="G27" s="94">
        <f>F27/22</f>
        <v>262002196.57942113</v>
      </c>
      <c r="H27" s="94">
        <f>G27</f>
        <v>262002196.57942113</v>
      </c>
      <c r="I27" s="94">
        <f>F27/22</f>
        <v>262002196.57942113</v>
      </c>
      <c r="J27" s="94">
        <f t="shared" ref="J27:P27" si="5">I27</f>
        <v>262002196.57942113</v>
      </c>
      <c r="K27" s="94">
        <f>F27/22</f>
        <v>262002196.57942113</v>
      </c>
      <c r="L27" s="94">
        <f t="shared" ref="L27:R27" si="6">K27</f>
        <v>262002196.57942113</v>
      </c>
      <c r="M27" s="94">
        <f>F27/22</f>
        <v>262002196.57942113</v>
      </c>
      <c r="N27" s="94">
        <f t="shared" ref="N27" si="7">M27</f>
        <v>262002196.57942113</v>
      </c>
      <c r="O27" s="94">
        <f>F27/22</f>
        <v>262002196.57942113</v>
      </c>
      <c r="P27" s="94">
        <f t="shared" si="5"/>
        <v>262002196.57942113</v>
      </c>
      <c r="Q27" s="94">
        <f>F27/22</f>
        <v>262002196.57942113</v>
      </c>
      <c r="R27" s="94">
        <f t="shared" si="6"/>
        <v>262002196.57942113</v>
      </c>
      <c r="S27" s="94">
        <f>F27/22</f>
        <v>262002196.57942113</v>
      </c>
      <c r="T27" s="94">
        <f t="shared" ref="T27" si="8">S27</f>
        <v>262002196.57942113</v>
      </c>
      <c r="U27" s="94">
        <f>T27</f>
        <v>262002196.57942113</v>
      </c>
      <c r="V27" s="94">
        <f t="shared" ref="V27" si="9">U27</f>
        <v>262002196.57942113</v>
      </c>
      <c r="W27" s="94">
        <f>V27</f>
        <v>262002196.57942113</v>
      </c>
      <c r="X27" s="94">
        <f t="shared" ref="X27" si="10">W27</f>
        <v>262002196.57942113</v>
      </c>
      <c r="Y27" s="94">
        <f>X27</f>
        <v>262002196.57942113</v>
      </c>
      <c r="Z27" s="94">
        <f t="shared" ref="Z27" si="11">Y27</f>
        <v>262002196.57942113</v>
      </c>
      <c r="AA27" s="94">
        <f>Z27</f>
        <v>262002196.57942113</v>
      </c>
      <c r="AB27" s="94">
        <f t="shared" ref="AB27" si="12">AA27</f>
        <v>262002196.57942113</v>
      </c>
      <c r="AC27" s="623"/>
      <c r="AD27" s="610"/>
      <c r="AE27" s="402"/>
      <c r="AH27" s="95">
        <f>SUM(G27:AB27)</f>
        <v>5764048324.7472639</v>
      </c>
    </row>
    <row r="28" spans="1:51">
      <c r="B28" s="89">
        <v>2</v>
      </c>
      <c r="C28" s="90" t="s">
        <v>591</v>
      </c>
      <c r="D28" s="91"/>
      <c r="E28" s="92"/>
      <c r="F28" s="93">
        <f>'Rekap RAB '!D12</f>
        <v>9426752903.5066853</v>
      </c>
      <c r="G28" s="94"/>
      <c r="H28" s="94"/>
      <c r="I28" s="94">
        <f>F28/22</f>
        <v>428488768.34121299</v>
      </c>
      <c r="J28" s="94">
        <f t="shared" ref="J28:T28" si="13">I28</f>
        <v>428488768.34121299</v>
      </c>
      <c r="K28" s="94">
        <f t="shared" si="13"/>
        <v>428488768.34121299</v>
      </c>
      <c r="L28" s="94">
        <f t="shared" si="13"/>
        <v>428488768.34121299</v>
      </c>
      <c r="M28" s="94">
        <f t="shared" si="13"/>
        <v>428488768.34121299</v>
      </c>
      <c r="N28" s="94">
        <f t="shared" si="13"/>
        <v>428488768.34121299</v>
      </c>
      <c r="O28" s="94">
        <f t="shared" si="13"/>
        <v>428488768.34121299</v>
      </c>
      <c r="P28" s="94">
        <f t="shared" si="13"/>
        <v>428488768.34121299</v>
      </c>
      <c r="Q28" s="94">
        <f t="shared" si="13"/>
        <v>428488768.34121299</v>
      </c>
      <c r="R28" s="94">
        <f t="shared" si="13"/>
        <v>428488768.34121299</v>
      </c>
      <c r="S28" s="94">
        <f t="shared" si="13"/>
        <v>428488768.34121299</v>
      </c>
      <c r="T28" s="94">
        <f t="shared" si="13"/>
        <v>428488768.34121299</v>
      </c>
      <c r="U28" s="94">
        <f>T28</f>
        <v>428488768.34121299</v>
      </c>
      <c r="V28" s="94">
        <f>U28</f>
        <v>428488768.34121299</v>
      </c>
      <c r="W28" s="94">
        <f>V28</f>
        <v>428488768.34121299</v>
      </c>
      <c r="X28" s="94">
        <f>W28</f>
        <v>428488768.34121299</v>
      </c>
      <c r="Y28" s="94">
        <f>X28</f>
        <v>428488768.34121299</v>
      </c>
      <c r="Z28" s="94">
        <f>Y28</f>
        <v>428488768.34121299</v>
      </c>
      <c r="AA28" s="94">
        <f>Z28</f>
        <v>428488768.34121299</v>
      </c>
      <c r="AB28" s="94">
        <f>AA28</f>
        <v>428488768.34121299</v>
      </c>
      <c r="AC28" s="94">
        <f>AB28</f>
        <v>428488768.34121299</v>
      </c>
      <c r="AD28" s="94">
        <f>AC28</f>
        <v>428488768.34121299</v>
      </c>
      <c r="AE28" s="402"/>
      <c r="AH28" s="95">
        <f>SUM(G28:AB28)</f>
        <v>8569775366.8242626</v>
      </c>
    </row>
    <row r="29" spans="1:51">
      <c r="B29" s="89">
        <v>3</v>
      </c>
      <c r="C29" s="90" t="s">
        <v>592</v>
      </c>
      <c r="D29" s="91"/>
      <c r="E29" s="92"/>
      <c r="F29" s="93">
        <f>'Rekap RAB '!D14</f>
        <v>6477290556.2046204</v>
      </c>
      <c r="G29" s="94"/>
      <c r="H29" s="94"/>
      <c r="I29" s="94">
        <f>F29/22</f>
        <v>294422298.00930095</v>
      </c>
      <c r="J29" s="94">
        <f>I29</f>
        <v>294422298.00930095</v>
      </c>
      <c r="K29" s="94">
        <f>J29</f>
        <v>294422298.00930095</v>
      </c>
      <c r="L29" s="94">
        <f>K29</f>
        <v>294422298.00930095</v>
      </c>
      <c r="M29" s="94">
        <f>J29</f>
        <v>294422298.00930095</v>
      </c>
      <c r="N29" s="94">
        <f>M29</f>
        <v>294422298.00930095</v>
      </c>
      <c r="O29" s="94">
        <f>N29</f>
        <v>294422298.00930095</v>
      </c>
      <c r="P29" s="94">
        <f>O29</f>
        <v>294422298.00930095</v>
      </c>
      <c r="Q29" s="94">
        <f>N29</f>
        <v>294422298.00930095</v>
      </c>
      <c r="R29" s="94">
        <f>Q29</f>
        <v>294422298.00930095</v>
      </c>
      <c r="S29" s="94">
        <f>R29</f>
        <v>294422298.00930095</v>
      </c>
      <c r="T29" s="94">
        <f>S29</f>
        <v>294422298.00930095</v>
      </c>
      <c r="U29" s="94">
        <f>R29</f>
        <v>294422298.00930095</v>
      </c>
      <c r="V29" s="93">
        <f>U29</f>
        <v>294422298.00930095</v>
      </c>
      <c r="W29" s="93">
        <f>V29</f>
        <v>294422298.00930095</v>
      </c>
      <c r="X29" s="94">
        <f>W29</f>
        <v>294422298.00930095</v>
      </c>
      <c r="Y29" s="94">
        <f>V29</f>
        <v>294422298.00930095</v>
      </c>
      <c r="Z29" s="93">
        <f>Y29</f>
        <v>294422298.00930095</v>
      </c>
      <c r="AA29" s="93">
        <f>Z29</f>
        <v>294422298.00930095</v>
      </c>
      <c r="AB29" s="93">
        <f>Z29</f>
        <v>294422298.00930095</v>
      </c>
      <c r="AC29" s="623">
        <f>AB29</f>
        <v>294422298.00930095</v>
      </c>
      <c r="AD29" s="610">
        <f>AC29</f>
        <v>294422298.00930095</v>
      </c>
      <c r="AE29" s="402"/>
      <c r="AH29" s="95">
        <f>SUM(G29:AB29)</f>
        <v>5888445960.1860218</v>
      </c>
    </row>
    <row r="30" spans="1:51">
      <c r="B30" s="89">
        <v>4</v>
      </c>
      <c r="C30" s="90" t="s">
        <v>593</v>
      </c>
      <c r="D30" s="91"/>
      <c r="E30" s="92"/>
      <c r="F30" s="93">
        <f>'Rekap RAB '!D16</f>
        <v>751972347.3279146</v>
      </c>
      <c r="G30" s="94"/>
      <c r="H30" s="94"/>
      <c r="I30" s="94"/>
      <c r="J30" s="94">
        <f>F30/11</f>
        <v>68361122.484355867</v>
      </c>
      <c r="K30" s="94">
        <f>J30</f>
        <v>68361122.484355867</v>
      </c>
      <c r="L30" s="94"/>
      <c r="M30" s="94"/>
      <c r="N30" s="94">
        <f>J30</f>
        <v>68361122.484355867</v>
      </c>
      <c r="O30" s="94">
        <f>N30</f>
        <v>68361122.484355867</v>
      </c>
      <c r="P30" s="94"/>
      <c r="Q30" s="94"/>
      <c r="R30" s="94">
        <f>N30</f>
        <v>68361122.484355867</v>
      </c>
      <c r="S30" s="94">
        <f>R30</f>
        <v>68361122.484355867</v>
      </c>
      <c r="T30" s="94"/>
      <c r="U30" s="94"/>
      <c r="V30" s="94">
        <f>R30</f>
        <v>68361122.484355867</v>
      </c>
      <c r="W30" s="94">
        <f>V30</f>
        <v>68361122.484355867</v>
      </c>
      <c r="X30" s="94"/>
      <c r="Y30" s="94"/>
      <c r="Z30" s="94">
        <f>W30</f>
        <v>68361122.484355867</v>
      </c>
      <c r="AA30" s="94">
        <f>Z30</f>
        <v>68361122.484355867</v>
      </c>
      <c r="AB30" s="94"/>
      <c r="AC30" s="627">
        <f>AA30</f>
        <v>68361122.484355867</v>
      </c>
      <c r="AD30" s="614"/>
      <c r="AE30" s="402"/>
      <c r="AH30" s="95">
        <f>SUM(G30:AB30)</f>
        <v>683611224.84355879</v>
      </c>
    </row>
    <row r="31" spans="1:51">
      <c r="B31" s="89">
        <v>5</v>
      </c>
      <c r="C31" s="90" t="s">
        <v>93</v>
      </c>
      <c r="D31" s="91"/>
      <c r="E31" s="92"/>
      <c r="F31" s="93">
        <f>F21</f>
        <v>6933471253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3"/>
      <c r="W31" s="93"/>
      <c r="X31" s="93"/>
      <c r="Y31" s="94"/>
      <c r="Z31" s="93"/>
      <c r="AA31" s="93"/>
      <c r="AB31" s="93"/>
      <c r="AC31" s="623"/>
      <c r="AD31" s="610"/>
      <c r="AE31" s="402">
        <f>F31</f>
        <v>6933471253</v>
      </c>
      <c r="AH31" s="95">
        <f>SUM(G31:AB31)</f>
        <v>0</v>
      </c>
    </row>
    <row r="32" spans="1:51">
      <c r="B32" s="96"/>
      <c r="C32" s="97"/>
      <c r="D32" s="98"/>
      <c r="E32" s="99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0"/>
      <c r="W32" s="100"/>
      <c r="X32" s="100"/>
      <c r="Y32" s="101"/>
      <c r="Z32" s="100"/>
      <c r="AA32" s="100"/>
      <c r="AB32" s="100"/>
      <c r="AC32" s="625"/>
      <c r="AD32" s="612"/>
      <c r="AE32" s="402"/>
    </row>
    <row r="33" spans="1:51" s="107" customFormat="1">
      <c r="A33" s="106"/>
      <c r="B33" s="775" t="s">
        <v>94</v>
      </c>
      <c r="C33" s="776"/>
      <c r="D33" s="776"/>
      <c r="E33" s="777"/>
      <c r="F33" s="512">
        <f t="shared" ref="F33:AA33" si="14">SUM(F26:F31)</f>
        <v>29353535384.786488</v>
      </c>
      <c r="G33" s="513">
        <f t="shared" si="14"/>
        <v>262002196.57942113</v>
      </c>
      <c r="H33" s="513">
        <f t="shared" si="14"/>
        <v>262002196.57942113</v>
      </c>
      <c r="I33" s="513">
        <f>SUM(I26:I31)</f>
        <v>984913262.9299351</v>
      </c>
      <c r="J33" s="513">
        <f t="shared" si="14"/>
        <v>1053274385.4142909</v>
      </c>
      <c r="K33" s="513">
        <f t="shared" si="14"/>
        <v>1053274385.4142909</v>
      </c>
      <c r="L33" s="513">
        <f t="shared" si="14"/>
        <v>984913262.9299351</v>
      </c>
      <c r="M33" s="513">
        <f t="shared" si="14"/>
        <v>984913262.9299351</v>
      </c>
      <c r="N33" s="513">
        <f t="shared" si="14"/>
        <v>1053274385.4142909</v>
      </c>
      <c r="O33" s="513">
        <f>SUM(O26:O31)</f>
        <v>1053274385.4142909</v>
      </c>
      <c r="P33" s="513">
        <f t="shared" si="14"/>
        <v>984913262.9299351</v>
      </c>
      <c r="Q33" s="513">
        <f t="shared" si="14"/>
        <v>984913262.9299351</v>
      </c>
      <c r="R33" s="513">
        <f t="shared" si="14"/>
        <v>1053274385.4142909</v>
      </c>
      <c r="S33" s="513">
        <f t="shared" si="14"/>
        <v>1053274385.4142909</v>
      </c>
      <c r="T33" s="513">
        <f t="shared" si="14"/>
        <v>984913262.9299351</v>
      </c>
      <c r="U33" s="513">
        <f t="shared" si="14"/>
        <v>984913262.9299351</v>
      </c>
      <c r="V33" s="513">
        <f t="shared" si="14"/>
        <v>1053274385.4142909</v>
      </c>
      <c r="W33" s="513">
        <f t="shared" si="14"/>
        <v>1053274385.4142909</v>
      </c>
      <c r="X33" s="513">
        <f t="shared" si="14"/>
        <v>984913262.9299351</v>
      </c>
      <c r="Y33" s="513">
        <f t="shared" si="14"/>
        <v>984913262.9299351</v>
      </c>
      <c r="Z33" s="513">
        <f t="shared" si="14"/>
        <v>1053274385.4142909</v>
      </c>
      <c r="AA33" s="513">
        <f t="shared" si="14"/>
        <v>1053274385.4142909</v>
      </c>
      <c r="AB33" s="513">
        <f>SUM(AB26:AB31)</f>
        <v>984913262.9299351</v>
      </c>
      <c r="AC33" s="513">
        <f>SUM(AC25:AC32)</f>
        <v>791272188.83486986</v>
      </c>
      <c r="AD33" s="513">
        <f>SUM(AD25:AD32)</f>
        <v>722911066.35051394</v>
      </c>
      <c r="AE33" s="629">
        <f>AE31</f>
        <v>6933471253</v>
      </c>
      <c r="AF33" s="106"/>
      <c r="AG33" s="106"/>
      <c r="AH33" s="95">
        <f>SUM(G33:AE33)</f>
        <v>29353535384.786491</v>
      </c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</row>
    <row r="34" spans="1:51">
      <c r="B34" s="108"/>
      <c r="C34" s="109"/>
      <c r="D34" s="110"/>
      <c r="E34" s="111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2"/>
      <c r="W34" s="112"/>
      <c r="X34" s="112"/>
      <c r="Y34" s="113"/>
      <c r="Z34" s="112"/>
      <c r="AA34" s="112"/>
      <c r="AB34" s="112"/>
      <c r="AC34" s="112"/>
      <c r="AD34" s="615"/>
      <c r="AE34" s="402"/>
      <c r="AH34" s="95">
        <f t="shared" ref="AH34:AH41" si="15">SUM(G34:AB34)</f>
        <v>0</v>
      </c>
    </row>
    <row r="35" spans="1:51" s="114" customFormat="1">
      <c r="A35" s="63"/>
      <c r="B35" s="761" t="s">
        <v>95</v>
      </c>
      <c r="C35" s="762"/>
      <c r="D35" s="762"/>
      <c r="E35" s="763"/>
      <c r="F35" s="514"/>
      <c r="G35" s="515">
        <f t="shared" ref="G35:AE35" si="16">G23-G33</f>
        <v>1980004216.5992279</v>
      </c>
      <c r="H35" s="515">
        <f t="shared" si="16"/>
        <v>-262002196.57942113</v>
      </c>
      <c r="I35" s="515">
        <f t="shared" si="16"/>
        <v>-984913262.9299351</v>
      </c>
      <c r="J35" s="515">
        <f t="shared" si="16"/>
        <v>-683729752.4142909</v>
      </c>
      <c r="K35" s="515">
        <f t="shared" si="16"/>
        <v>1124588849.863317</v>
      </c>
      <c r="L35" s="515">
        <f t="shared" si="16"/>
        <v>-984913262.9299351</v>
      </c>
      <c r="M35" s="515">
        <f t="shared" si="16"/>
        <v>-140013609.9299351</v>
      </c>
      <c r="N35" s="515">
        <f t="shared" si="16"/>
        <v>808726.585709095</v>
      </c>
      <c r="O35" s="515">
        <f t="shared" si="16"/>
        <v>2411644616.7708936</v>
      </c>
      <c r="P35" s="515">
        <f t="shared" si="16"/>
        <v>-984913262.9299351</v>
      </c>
      <c r="Q35" s="515">
        <f t="shared" si="16"/>
        <v>-984913262.9299351</v>
      </c>
      <c r="R35" s="515">
        <f t="shared" si="16"/>
        <v>-441705612.4142909</v>
      </c>
      <c r="S35" s="515">
        <f t="shared" si="16"/>
        <v>2411644616.7708921</v>
      </c>
      <c r="T35" s="515">
        <f t="shared" si="16"/>
        <v>-984913262.9299351</v>
      </c>
      <c r="U35" s="515">
        <f t="shared" si="16"/>
        <v>-984913262.9299351</v>
      </c>
      <c r="V35" s="515">
        <f t="shared" si="16"/>
        <v>-441815619.4142909</v>
      </c>
      <c r="W35" s="515">
        <f t="shared" si="16"/>
        <v>2411644616.7708917</v>
      </c>
      <c r="X35" s="515">
        <f t="shared" si="16"/>
        <v>-984913262.9299351</v>
      </c>
      <c r="Y35" s="515">
        <f t="shared" si="16"/>
        <v>-984913262.9299351</v>
      </c>
      <c r="Z35" s="515">
        <f t="shared" si="16"/>
        <v>-441815619.4142909</v>
      </c>
      <c r="AA35" s="515">
        <f t="shared" si="16"/>
        <v>-817499.414290905</v>
      </c>
      <c r="AB35" s="515">
        <f t="shared" si="16"/>
        <v>793087401.0700649</v>
      </c>
      <c r="AC35" s="515">
        <f t="shared" si="16"/>
        <v>-791272188.83486986</v>
      </c>
      <c r="AD35" s="515">
        <f t="shared" si="16"/>
        <v>5761523203.8348312</v>
      </c>
      <c r="AE35" s="403">
        <f t="shared" si="16"/>
        <v>-5812468046.410675</v>
      </c>
      <c r="AF35" s="63"/>
      <c r="AG35" s="63"/>
      <c r="AH35" s="95">
        <f t="shared" si="15"/>
        <v>842217031.41070533</v>
      </c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>
      <c r="B36" s="108"/>
      <c r="C36" s="109"/>
      <c r="D36" s="110"/>
      <c r="E36" s="111"/>
      <c r="F36" s="112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2"/>
      <c r="W36" s="112"/>
      <c r="X36" s="112"/>
      <c r="Y36" s="113"/>
      <c r="Z36" s="112"/>
      <c r="AA36" s="112"/>
      <c r="AB36" s="112"/>
      <c r="AC36" s="628"/>
      <c r="AD36" s="615"/>
      <c r="AE36" s="402"/>
      <c r="AH36" s="95">
        <f t="shared" si="15"/>
        <v>0</v>
      </c>
    </row>
    <row r="37" spans="1:51" s="117" customFormat="1" ht="16.5" thickBot="1">
      <c r="A37" s="63"/>
      <c r="B37" s="764" t="s">
        <v>96</v>
      </c>
      <c r="C37" s="765"/>
      <c r="D37" s="765"/>
      <c r="E37" s="766"/>
      <c r="F37" s="115"/>
      <c r="G37" s="116">
        <f>G35</f>
        <v>1980004216.5992279</v>
      </c>
      <c r="H37" s="116">
        <f>G37+H35</f>
        <v>1718002020.0198069</v>
      </c>
      <c r="I37" s="116">
        <f>H37+I35</f>
        <v>733088757.08987176</v>
      </c>
      <c r="J37" s="116">
        <f>J35+I37</f>
        <v>49359004.675580859</v>
      </c>
      <c r="K37" s="116">
        <f t="shared" ref="K37" si="17">J37+K35</f>
        <v>1173947854.538898</v>
      </c>
      <c r="L37" s="116">
        <f t="shared" ref="L37" si="18">K37+L35</f>
        <v>189034591.60896289</v>
      </c>
      <c r="M37" s="116">
        <f t="shared" ref="M37" si="19">L37+M35</f>
        <v>49020981.679027796</v>
      </c>
      <c r="N37" s="116">
        <f t="shared" ref="N37" si="20">M37+N35</f>
        <v>49829708.264736891</v>
      </c>
      <c r="O37" s="116">
        <f>N37+O35</f>
        <v>2461474325.0356302</v>
      </c>
      <c r="P37" s="116">
        <f t="shared" ref="P37" si="21">O37+P35</f>
        <v>1476561062.1056952</v>
      </c>
      <c r="Q37" s="116">
        <f t="shared" ref="Q37" si="22">P37+Q35</f>
        <v>491647799.17576015</v>
      </c>
      <c r="R37" s="116">
        <f>Q37+R35</f>
        <v>49942186.761469245</v>
      </c>
      <c r="S37" s="116">
        <f t="shared" ref="S37" si="23">R37+S35</f>
        <v>2461586803.5323615</v>
      </c>
      <c r="T37" s="116">
        <f t="shared" ref="T37" si="24">S37+T35</f>
        <v>1476673540.6024265</v>
      </c>
      <c r="U37" s="116">
        <f t="shared" ref="U37" si="25">T37+U35</f>
        <v>491760277.67249143</v>
      </c>
      <c r="V37" s="116">
        <f t="shared" ref="V37" si="26">U37+V35</f>
        <v>49944658.258200526</v>
      </c>
      <c r="W37" s="116">
        <f t="shared" ref="W37" si="27">V37+W35</f>
        <v>2461589275.0290923</v>
      </c>
      <c r="X37" s="116">
        <f t="shared" ref="X37" si="28">W37+X35</f>
        <v>1476676012.0991573</v>
      </c>
      <c r="Y37" s="116">
        <f t="shared" ref="Y37" si="29">X37+Y35</f>
        <v>491762749.16922224</v>
      </c>
      <c r="Z37" s="116">
        <f t="shared" ref="Z37" si="30">Y37+Z35</f>
        <v>49947129.754931331</v>
      </c>
      <c r="AA37" s="116">
        <f>Z37+AA35</f>
        <v>49129630.340640426</v>
      </c>
      <c r="AB37" s="619">
        <f>AA37+AB35</f>
        <v>842217031.41070533</v>
      </c>
      <c r="AC37" s="116">
        <f t="shared" ref="AC37" si="31">AB37+AC35</f>
        <v>50944842.575835466</v>
      </c>
      <c r="AD37" s="619">
        <f>AC37+AD35</f>
        <v>5812468046.4106665</v>
      </c>
      <c r="AE37" s="404">
        <f>AD37+AE35</f>
        <v>-8.58306884765625E-6</v>
      </c>
      <c r="AF37" s="63"/>
      <c r="AG37" s="63"/>
      <c r="AH37" s="95">
        <f t="shared" si="15"/>
        <v>20273199615.423901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ht="16.5" thickTop="1">
      <c r="AE38" s="269"/>
      <c r="AH38" s="95">
        <f t="shared" si="15"/>
        <v>0</v>
      </c>
    </row>
    <row r="39" spans="1:51" ht="24.75" customHeight="1">
      <c r="B39" s="767" t="s">
        <v>97</v>
      </c>
      <c r="C39" s="767"/>
      <c r="D39" s="767"/>
      <c r="E39" s="768">
        <v>50000000</v>
      </c>
      <c r="F39" s="768"/>
      <c r="AE39" s="272"/>
      <c r="AH39" s="95">
        <f t="shared" si="15"/>
        <v>0</v>
      </c>
    </row>
    <row r="40" spans="1:51">
      <c r="J40" s="118"/>
      <c r="AE40" s="268"/>
      <c r="AH40" s="95">
        <f t="shared" si="15"/>
        <v>0</v>
      </c>
    </row>
    <row r="41" spans="1:51">
      <c r="AE41" s="270"/>
      <c r="AH41" s="95">
        <f t="shared" si="15"/>
        <v>0</v>
      </c>
    </row>
    <row r="42" spans="1:51">
      <c r="I42" s="118"/>
      <c r="J42" s="118"/>
      <c r="M42" s="118"/>
      <c r="N42" s="118"/>
      <c r="R42" s="118"/>
      <c r="V42" s="16"/>
      <c r="Z42" s="16"/>
      <c r="AA42" s="16"/>
      <c r="AB42" s="16"/>
      <c r="AC42" s="16"/>
      <c r="AD42" s="16"/>
      <c r="AE42" s="271"/>
    </row>
    <row r="43" spans="1:51">
      <c r="I43" s="118"/>
      <c r="J43" s="118"/>
      <c r="M43" s="118"/>
      <c r="N43" s="118"/>
      <c r="R43" s="118"/>
      <c r="V43" s="16"/>
      <c r="Z43" s="16"/>
      <c r="AA43" s="16"/>
    </row>
    <row r="45" spans="1:51">
      <c r="I45" s="118"/>
      <c r="J45" s="118"/>
      <c r="M45" s="118"/>
      <c r="N45" s="118"/>
      <c r="R45" s="118"/>
      <c r="V45" s="16"/>
      <c r="Z45" s="16"/>
      <c r="AA45" s="16"/>
    </row>
    <row r="46" spans="1:51">
      <c r="I46" s="118"/>
      <c r="J46" s="118"/>
      <c r="M46" s="118"/>
      <c r="N46" s="118"/>
      <c r="R46" s="118"/>
      <c r="V46" s="16"/>
      <c r="Z46" s="16"/>
      <c r="AA46" s="16"/>
    </row>
  </sheetData>
  <mergeCells count="16">
    <mergeCell ref="W10:Z10"/>
    <mergeCell ref="AA10:AB10"/>
    <mergeCell ref="B23:E23"/>
    <mergeCell ref="B33:E33"/>
    <mergeCell ref="B9:B10"/>
    <mergeCell ref="C9:E10"/>
    <mergeCell ref="F9:F10"/>
    <mergeCell ref="G10:J10"/>
    <mergeCell ref="O10:R10"/>
    <mergeCell ref="S10:V10"/>
    <mergeCell ref="G9:AD9"/>
    <mergeCell ref="B35:E35"/>
    <mergeCell ref="B37:E37"/>
    <mergeCell ref="B39:D39"/>
    <mergeCell ref="E39:F39"/>
    <mergeCell ref="K10:N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3" manualBreakCount="3">
    <brk id="10" max="38" man="1"/>
    <brk id="18" max="38" man="1"/>
    <brk id="26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Q100"/>
  <sheetViews>
    <sheetView workbookViewId="0">
      <selection activeCell="K11" sqref="K11"/>
    </sheetView>
  </sheetViews>
  <sheetFormatPr defaultRowHeight="15"/>
  <cols>
    <col min="4" max="4" width="8.5703125" customWidth="1"/>
    <col min="5" max="5" width="3.7109375" customWidth="1"/>
    <col min="6" max="6" width="10.140625" customWidth="1"/>
    <col min="7" max="7" width="4" customWidth="1"/>
    <col min="8" max="8" width="3.42578125" customWidth="1"/>
    <col min="9" max="9" width="21.85546875" customWidth="1"/>
    <col min="10" max="10" width="4.7109375" customWidth="1"/>
    <col min="11" max="11" width="27.5703125" customWidth="1"/>
    <col min="12" max="12" width="25.28515625" customWidth="1"/>
    <col min="14" max="14" width="16.140625" customWidth="1"/>
    <col min="15" max="15" width="11.5703125" bestFit="1" customWidth="1"/>
    <col min="16" max="16" width="20.140625" customWidth="1"/>
    <col min="17" max="17" width="11.5703125" bestFit="1" customWidth="1"/>
  </cols>
  <sheetData>
    <row r="1" spans="1:16" ht="15.75">
      <c r="A1" s="410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2"/>
    </row>
    <row r="2" spans="1:16" ht="15.75">
      <c r="A2" s="786" t="s">
        <v>861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8"/>
    </row>
    <row r="3" spans="1:16" ht="15.75">
      <c r="A3" s="786" t="s">
        <v>890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8"/>
    </row>
    <row r="4" spans="1:16" ht="16.5" thickBot="1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5"/>
    </row>
    <row r="5" spans="1:16" ht="15.75" thickBot="1">
      <c r="A5" s="516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8"/>
    </row>
    <row r="6" spans="1:16">
      <c r="A6" s="789" t="s">
        <v>862</v>
      </c>
      <c r="B6" s="790"/>
      <c r="C6" s="790"/>
      <c r="D6" s="790"/>
      <c r="E6" s="790"/>
      <c r="F6" s="790"/>
      <c r="G6" s="416"/>
      <c r="H6" s="417"/>
      <c r="I6" s="417"/>
      <c r="J6" s="417"/>
      <c r="K6" s="417"/>
      <c r="L6" s="418"/>
    </row>
    <row r="7" spans="1:16">
      <c r="A7" s="419"/>
      <c r="B7" s="420" t="s">
        <v>863</v>
      </c>
      <c r="C7" s="420"/>
      <c r="D7" s="420"/>
      <c r="E7" s="420" t="s">
        <v>76</v>
      </c>
      <c r="F7" s="421" t="s">
        <v>891</v>
      </c>
      <c r="G7" s="421"/>
      <c r="H7" s="420"/>
      <c r="I7" s="420"/>
      <c r="J7" s="420"/>
      <c r="K7" s="420"/>
      <c r="L7" s="422"/>
    </row>
    <row r="8" spans="1:16">
      <c r="A8" s="423"/>
      <c r="B8" s="424" t="s">
        <v>864</v>
      </c>
      <c r="C8" s="424"/>
      <c r="D8" s="424"/>
      <c r="E8" s="424" t="s">
        <v>76</v>
      </c>
      <c r="F8" s="552">
        <v>2015</v>
      </c>
      <c r="G8" s="424"/>
      <c r="H8" s="425"/>
      <c r="I8" s="425"/>
      <c r="J8" s="425"/>
      <c r="K8" s="425"/>
      <c r="L8" s="426"/>
    </row>
    <row r="9" spans="1:16">
      <c r="A9" s="423"/>
      <c r="B9" s="425" t="s">
        <v>865</v>
      </c>
      <c r="C9" s="425"/>
      <c r="D9" s="425"/>
      <c r="E9" s="425" t="s">
        <v>76</v>
      </c>
      <c r="F9" s="425" t="s">
        <v>887</v>
      </c>
      <c r="G9" s="425"/>
      <c r="H9" s="425"/>
      <c r="I9" s="425"/>
      <c r="J9" s="425"/>
      <c r="K9" s="425"/>
      <c r="L9" s="426"/>
    </row>
    <row r="10" spans="1:16">
      <c r="A10" s="423"/>
      <c r="B10" s="425" t="s">
        <v>866</v>
      </c>
      <c r="C10" s="425"/>
      <c r="D10" s="427"/>
      <c r="E10" s="425" t="s">
        <v>76</v>
      </c>
      <c r="F10" s="425" t="s">
        <v>943</v>
      </c>
      <c r="G10" s="425" t="s">
        <v>76</v>
      </c>
      <c r="H10" s="425"/>
      <c r="I10" s="425">
        <f>Sheet3!D2</f>
        <v>3725.357481</v>
      </c>
      <c r="J10" s="425"/>
      <c r="K10" s="425"/>
      <c r="L10" s="426"/>
    </row>
    <row r="11" spans="1:16">
      <c r="A11" s="423"/>
      <c r="B11" s="425"/>
      <c r="C11" s="425"/>
      <c r="D11" s="425"/>
      <c r="E11" s="425"/>
      <c r="F11" s="425" t="s">
        <v>888</v>
      </c>
      <c r="G11" s="425" t="s">
        <v>76</v>
      </c>
      <c r="H11" s="425"/>
      <c r="I11" s="425">
        <f>Sheet3!D6</f>
        <v>3598.9708989999999</v>
      </c>
      <c r="J11" s="425"/>
      <c r="K11" s="425"/>
      <c r="L11" s="426"/>
    </row>
    <row r="12" spans="1:16">
      <c r="A12" s="423"/>
      <c r="B12" s="425"/>
      <c r="C12" s="425"/>
      <c r="D12" s="425"/>
      <c r="E12" s="425"/>
      <c r="F12" s="425" t="s">
        <v>944</v>
      </c>
      <c r="G12" s="425" t="s">
        <v>76</v>
      </c>
      <c r="H12" s="425"/>
      <c r="I12" s="425">
        <f>Sheet3!D11</f>
        <v>3677.4565090000001</v>
      </c>
      <c r="J12" s="425"/>
      <c r="K12" s="425"/>
      <c r="L12" s="426"/>
    </row>
    <row r="13" spans="1:16">
      <c r="A13" s="423"/>
      <c r="B13" s="425"/>
      <c r="C13" s="425"/>
      <c r="D13" s="425"/>
      <c r="E13" s="425"/>
      <c r="F13" s="425" t="s">
        <v>945</v>
      </c>
      <c r="G13" s="425" t="s">
        <v>76</v>
      </c>
      <c r="H13" s="425"/>
      <c r="I13" s="425">
        <f>Sheet3!D15</f>
        <v>3677.4565090000001</v>
      </c>
      <c r="J13" s="425"/>
      <c r="K13" s="425"/>
      <c r="L13" s="426"/>
    </row>
    <row r="14" spans="1:16" ht="15.75" customHeight="1">
      <c r="A14" s="423"/>
      <c r="B14" s="425"/>
      <c r="C14" s="425"/>
      <c r="D14" s="425"/>
      <c r="E14" s="425"/>
      <c r="F14" s="425" t="s">
        <v>946</v>
      </c>
      <c r="G14" s="425" t="s">
        <v>76</v>
      </c>
      <c r="H14" s="425"/>
      <c r="I14" s="425">
        <f>Sheet3!D19</f>
        <v>3346.6177729999999</v>
      </c>
      <c r="J14" s="425"/>
      <c r="K14" s="425"/>
      <c r="L14" s="426"/>
      <c r="P14" s="15" t="s">
        <v>867</v>
      </c>
    </row>
    <row r="15" spans="1:16">
      <c r="A15" s="423"/>
      <c r="B15" s="425"/>
      <c r="C15" s="425"/>
      <c r="D15" s="425"/>
      <c r="E15" s="425"/>
      <c r="F15" s="425" t="s">
        <v>390</v>
      </c>
      <c r="G15" s="425" t="s">
        <v>76</v>
      </c>
      <c r="H15" s="425"/>
      <c r="I15" s="425">
        <f>Sheet3!D32</f>
        <v>2344.7329869999999</v>
      </c>
      <c r="J15" s="425"/>
      <c r="K15" s="425"/>
      <c r="L15" s="426"/>
    </row>
    <row r="16" spans="1:16">
      <c r="A16" s="423"/>
      <c r="B16" s="425" t="s">
        <v>868</v>
      </c>
      <c r="C16" s="425"/>
      <c r="D16" s="425"/>
      <c r="E16" s="425" t="s">
        <v>76</v>
      </c>
      <c r="F16" s="428">
        <f>SUM(I10:I15)</f>
        <v>20370.592157999999</v>
      </c>
      <c r="G16" s="425" t="s">
        <v>23</v>
      </c>
      <c r="H16" s="425"/>
      <c r="I16" s="425"/>
      <c r="J16" s="425"/>
      <c r="K16" s="425"/>
      <c r="L16" s="426"/>
    </row>
    <row r="17" spans="1:16">
      <c r="A17" s="423"/>
      <c r="B17" s="425" t="s">
        <v>869</v>
      </c>
      <c r="C17" s="425"/>
      <c r="D17" s="425"/>
      <c r="E17" s="425" t="s">
        <v>76</v>
      </c>
      <c r="F17" s="425" t="s">
        <v>870</v>
      </c>
      <c r="G17" s="425"/>
      <c r="H17" s="425"/>
      <c r="I17" s="425"/>
      <c r="J17" s="425"/>
      <c r="K17" s="425"/>
      <c r="L17" s="426"/>
    </row>
    <row r="18" spans="1:16">
      <c r="A18" s="429"/>
      <c r="B18" s="425"/>
      <c r="C18" s="425"/>
      <c r="D18" s="425"/>
      <c r="E18" s="425"/>
      <c r="F18" s="425" t="s">
        <v>879</v>
      </c>
      <c r="G18" s="425"/>
      <c r="H18" s="425"/>
      <c r="I18" s="425"/>
      <c r="J18" s="425"/>
      <c r="K18" s="425"/>
      <c r="L18" s="426"/>
    </row>
    <row r="19" spans="1:16">
      <c r="A19" s="429"/>
      <c r="B19" s="425"/>
      <c r="C19" s="425"/>
      <c r="D19" s="425"/>
      <c r="E19" s="425"/>
      <c r="F19" s="425" t="s">
        <v>880</v>
      </c>
      <c r="G19" s="425"/>
      <c r="H19" s="425"/>
      <c r="I19" s="425"/>
      <c r="J19" s="425"/>
      <c r="K19" s="425"/>
      <c r="L19" s="426"/>
    </row>
    <row r="20" spans="1:16">
      <c r="A20" s="429"/>
      <c r="B20" s="425"/>
      <c r="C20" s="425"/>
      <c r="D20" s="425"/>
      <c r="E20" s="425"/>
      <c r="F20" s="425" t="s">
        <v>881</v>
      </c>
      <c r="G20" s="425"/>
      <c r="H20" s="425"/>
      <c r="I20" s="425"/>
      <c r="J20" s="425"/>
      <c r="K20" s="425"/>
      <c r="L20" s="426"/>
    </row>
    <row r="21" spans="1:16">
      <c r="A21" s="429"/>
      <c r="B21" s="425"/>
      <c r="C21" s="425"/>
      <c r="D21" s="425"/>
      <c r="E21" s="425"/>
      <c r="F21" s="425" t="s">
        <v>882</v>
      </c>
      <c r="G21" s="425"/>
      <c r="H21" s="425"/>
      <c r="I21" s="425"/>
      <c r="J21" s="425"/>
      <c r="K21" s="425"/>
      <c r="L21" s="426"/>
    </row>
    <row r="22" spans="1:16">
      <c r="A22" s="429"/>
      <c r="B22" s="425"/>
      <c r="C22" s="425"/>
      <c r="D22" s="425"/>
      <c r="E22" s="425"/>
      <c r="F22" s="425" t="s">
        <v>901</v>
      </c>
      <c r="G22" s="425"/>
      <c r="H22" s="425"/>
      <c r="I22" s="425"/>
      <c r="J22" s="425"/>
      <c r="K22" s="425"/>
      <c r="L22" s="426"/>
    </row>
    <row r="23" spans="1:16">
      <c r="A23" s="429"/>
      <c r="B23" s="425"/>
      <c r="C23" s="425"/>
      <c r="D23" s="425"/>
      <c r="E23" s="425"/>
      <c r="F23" s="425" t="s">
        <v>902</v>
      </c>
      <c r="G23" s="425"/>
      <c r="H23" s="425"/>
      <c r="I23" s="425"/>
      <c r="J23" s="425"/>
      <c r="K23" s="425"/>
      <c r="L23" s="426"/>
      <c r="P23">
        <f>1830*27</f>
        <v>49410</v>
      </c>
    </row>
    <row r="24" spans="1:16">
      <c r="A24" s="429"/>
      <c r="B24" s="425"/>
      <c r="C24" s="425"/>
      <c r="D24" s="425"/>
      <c r="E24" s="425"/>
      <c r="F24" s="425" t="s">
        <v>883</v>
      </c>
      <c r="G24" s="425"/>
      <c r="H24" s="425"/>
      <c r="I24" s="425"/>
      <c r="J24" s="425"/>
      <c r="K24" s="425"/>
      <c r="L24" s="426"/>
    </row>
    <row r="25" spans="1:16">
      <c r="A25" s="429"/>
      <c r="B25" s="425"/>
      <c r="C25" s="425"/>
      <c r="D25" s="425"/>
      <c r="E25" s="425"/>
      <c r="F25" s="425" t="s">
        <v>903</v>
      </c>
      <c r="G25" s="425"/>
      <c r="H25" s="425"/>
      <c r="I25" s="425"/>
      <c r="J25" s="425"/>
      <c r="K25" s="425"/>
      <c r="L25" s="426"/>
    </row>
    <row r="26" spans="1:16">
      <c r="A26" s="429"/>
      <c r="B26" s="425"/>
      <c r="C26" s="425"/>
      <c r="D26" s="425"/>
      <c r="E26" s="425"/>
      <c r="F26" s="425" t="s">
        <v>884</v>
      </c>
      <c r="G26" s="425"/>
      <c r="H26" s="425"/>
      <c r="I26" s="425"/>
      <c r="J26" s="425"/>
      <c r="K26" s="425"/>
      <c r="L26" s="426"/>
    </row>
    <row r="27" spans="1:16">
      <c r="A27" s="429"/>
      <c r="B27" s="425"/>
      <c r="C27" s="425"/>
      <c r="D27" s="425"/>
      <c r="E27" s="425"/>
      <c r="F27" s="425" t="s">
        <v>885</v>
      </c>
      <c r="G27" s="425"/>
      <c r="H27" s="425"/>
      <c r="I27" s="425"/>
      <c r="J27" s="425"/>
      <c r="K27" s="425"/>
      <c r="L27" s="426"/>
      <c r="O27">
        <f>0.999*27</f>
        <v>26.972999999999999</v>
      </c>
    </row>
    <row r="28" spans="1:16" ht="15.75" thickBot="1">
      <c r="A28" s="430"/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2"/>
      <c r="O28">
        <f>O27^0.104</f>
        <v>1.4086939267490655</v>
      </c>
    </row>
    <row r="29" spans="1:16">
      <c r="A29" s="519" t="s">
        <v>871</v>
      </c>
      <c r="B29" s="520"/>
      <c r="C29" s="520"/>
      <c r="D29" s="520"/>
      <c r="E29" s="520"/>
      <c r="F29" s="521"/>
      <c r="G29" s="521"/>
      <c r="H29" s="521"/>
      <c r="I29" s="521"/>
      <c r="J29" s="521"/>
      <c r="K29" s="521"/>
      <c r="L29" s="522"/>
    </row>
    <row r="30" spans="1:16">
      <c r="A30" s="433"/>
      <c r="B30" s="434"/>
      <c r="C30" s="434"/>
      <c r="D30" s="434"/>
      <c r="E30" s="434"/>
      <c r="F30" s="434"/>
      <c r="G30" s="434"/>
      <c r="H30" s="435"/>
      <c r="I30" s="436"/>
      <c r="J30" s="436"/>
      <c r="K30" s="434"/>
      <c r="L30" s="437"/>
      <c r="P30">
        <f>0.999*6</f>
        <v>5.9939999999999998</v>
      </c>
    </row>
    <row r="31" spans="1:16">
      <c r="A31" s="438"/>
      <c r="B31" s="439" t="s">
        <v>889</v>
      </c>
      <c r="C31" s="439"/>
      <c r="D31" s="439"/>
      <c r="E31" s="439"/>
      <c r="F31" s="439"/>
      <c r="G31" s="439"/>
      <c r="H31" s="439"/>
      <c r="I31" s="440"/>
      <c r="J31" s="440"/>
      <c r="K31" s="441">
        <v>4000000</v>
      </c>
      <c r="L31" s="442" t="s">
        <v>872</v>
      </c>
      <c r="P31">
        <f>P30^0.104</f>
        <v>1.2047100707008482</v>
      </c>
    </row>
    <row r="32" spans="1:16">
      <c r="A32" s="438"/>
      <c r="B32" s="439" t="s">
        <v>920</v>
      </c>
      <c r="C32" s="439"/>
      <c r="D32" s="439"/>
      <c r="E32" s="439"/>
      <c r="F32" s="439"/>
      <c r="G32" s="443"/>
      <c r="H32" s="444"/>
      <c r="I32" s="440"/>
      <c r="J32" s="440"/>
      <c r="K32" s="445">
        <f>P31</f>
        <v>1.2047100707008482</v>
      </c>
      <c r="L32" s="442"/>
      <c r="N32">
        <v>1.1970000000000001</v>
      </c>
    </row>
    <row r="33" spans="1:17">
      <c r="A33" s="438"/>
      <c r="B33" s="439" t="s">
        <v>919</v>
      </c>
      <c r="C33" s="439"/>
      <c r="D33" s="439"/>
      <c r="E33" s="439"/>
      <c r="F33" s="439"/>
      <c r="G33" s="439"/>
      <c r="H33" s="439"/>
      <c r="I33" s="440"/>
      <c r="J33" s="440"/>
      <c r="K33" s="446">
        <f>K31*K32</f>
        <v>4818840.282803393</v>
      </c>
      <c r="L33" s="442" t="s">
        <v>872</v>
      </c>
    </row>
    <row r="34" spans="1:17" ht="15.75" thickBot="1">
      <c r="A34" s="447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</row>
    <row r="35" spans="1:17">
      <c r="A35" s="523" t="s">
        <v>873</v>
      </c>
      <c r="B35" s="524"/>
      <c r="C35" s="524"/>
      <c r="D35" s="524"/>
      <c r="E35" s="524"/>
      <c r="F35" s="525"/>
      <c r="G35" s="525"/>
      <c r="H35" s="525"/>
      <c r="I35" s="525"/>
      <c r="J35" s="525"/>
      <c r="K35" s="525"/>
      <c r="L35" s="526"/>
      <c r="P35">
        <f>0.999*3</f>
        <v>2.9969999999999999</v>
      </c>
    </row>
    <row r="36" spans="1:17">
      <c r="A36" s="433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50"/>
      <c r="P36">
        <f>P35</f>
        <v>2.9969999999999999</v>
      </c>
    </row>
    <row r="37" spans="1:17">
      <c r="A37" s="438"/>
      <c r="B37" s="439" t="s">
        <v>921</v>
      </c>
      <c r="C37" s="439"/>
      <c r="D37" s="444"/>
      <c r="E37" s="439"/>
      <c r="F37" s="439"/>
      <c r="G37" s="439"/>
      <c r="H37" s="439"/>
      <c r="I37" s="439"/>
      <c r="J37" s="439"/>
      <c r="K37" s="439"/>
      <c r="L37" s="442"/>
      <c r="P37">
        <f>P36^0.104</f>
        <v>1.1209220729149798</v>
      </c>
    </row>
    <row r="38" spans="1:17">
      <c r="A38" s="438"/>
      <c r="B38" s="444"/>
      <c r="C38" s="444"/>
      <c r="D38" s="451" t="s">
        <v>874</v>
      </c>
      <c r="E38" s="452"/>
      <c r="F38" s="453">
        <f>F16</f>
        <v>20370.592157999999</v>
      </c>
      <c r="G38" s="453"/>
      <c r="H38" s="451" t="s">
        <v>875</v>
      </c>
      <c r="I38" s="454">
        <f>K33</f>
        <v>4818840.282803393</v>
      </c>
      <c r="J38" s="454" t="s">
        <v>876</v>
      </c>
      <c r="K38" s="441">
        <f>I38*F38</f>
        <v>98162630075.529297</v>
      </c>
      <c r="L38" s="442"/>
    </row>
    <row r="39" spans="1:17">
      <c r="A39" s="438"/>
      <c r="B39" s="439" t="s">
        <v>877</v>
      </c>
      <c r="C39" s="439"/>
      <c r="D39" s="444"/>
      <c r="E39" s="439"/>
      <c r="F39" s="439"/>
      <c r="G39" s="439"/>
      <c r="H39" s="439"/>
      <c r="I39" s="439"/>
      <c r="J39" s="439"/>
      <c r="K39" s="439"/>
      <c r="L39" s="455">
        <f>K38</f>
        <v>98162630075.529297</v>
      </c>
      <c r="N39" s="407">
        <f>'Rekap RAB '!D21/'Pek. CCE'!L39*100</f>
        <v>25.12368558787534</v>
      </c>
      <c r="Q39">
        <f>4000000*17.87</f>
        <v>71480000</v>
      </c>
    </row>
    <row r="40" spans="1:17">
      <c r="A40" s="456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8"/>
    </row>
    <row r="41" spans="1:17">
      <c r="A41" s="527" t="s">
        <v>878</v>
      </c>
      <c r="B41" s="528"/>
      <c r="C41" s="528"/>
      <c r="D41" s="528"/>
      <c r="E41" s="528"/>
      <c r="F41" s="529"/>
      <c r="G41" s="529"/>
      <c r="H41" s="529"/>
      <c r="I41" s="529"/>
      <c r="J41" s="529"/>
      <c r="K41" s="529"/>
      <c r="L41" s="530"/>
    </row>
    <row r="42" spans="1:17">
      <c r="A42" s="433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50"/>
      <c r="N42" s="408" t="s">
        <v>905</v>
      </c>
      <c r="O42" s="408" t="s">
        <v>904</v>
      </c>
      <c r="P42" s="405">
        <f>0.3*L39</f>
        <v>29448789022.658787</v>
      </c>
    </row>
    <row r="43" spans="1:17">
      <c r="A43" s="466">
        <v>1</v>
      </c>
      <c r="B43" s="439" t="s">
        <v>908</v>
      </c>
      <c r="C43" s="439"/>
      <c r="D43" s="439"/>
      <c r="E43" s="439"/>
      <c r="F43" s="459">
        <v>0.1</v>
      </c>
      <c r="G43" s="439"/>
      <c r="H43" s="451" t="s">
        <v>875</v>
      </c>
      <c r="I43" s="441">
        <f>I45</f>
        <v>98162630075.529297</v>
      </c>
      <c r="J43" s="441" t="s">
        <v>876</v>
      </c>
      <c r="K43" s="460">
        <f t="shared" ref="K43:K53" si="0">I43*F43</f>
        <v>9816263007.5529308</v>
      </c>
      <c r="L43" s="442"/>
      <c r="N43" s="408"/>
      <c r="O43" s="408"/>
      <c r="P43" s="405"/>
    </row>
    <row r="44" spans="1:17">
      <c r="A44" s="466">
        <v>2</v>
      </c>
      <c r="B44" s="439" t="s">
        <v>909</v>
      </c>
      <c r="C44" s="439"/>
      <c r="D44" s="440"/>
      <c r="E44" s="439"/>
      <c r="F44" s="459">
        <v>0.1</v>
      </c>
      <c r="G44" s="459"/>
      <c r="H44" s="451" t="s">
        <v>875</v>
      </c>
      <c r="I44" s="441">
        <f>I46</f>
        <v>98162630075.529297</v>
      </c>
      <c r="J44" s="441" t="s">
        <v>876</v>
      </c>
      <c r="K44" s="460">
        <f t="shared" si="0"/>
        <v>9816263007.5529308</v>
      </c>
      <c r="L44" s="442"/>
      <c r="N44" s="408" t="s">
        <v>906</v>
      </c>
      <c r="O44" s="408" t="s">
        <v>907</v>
      </c>
    </row>
    <row r="45" spans="1:17">
      <c r="A45" s="466">
        <v>3</v>
      </c>
      <c r="B45" s="439" t="s">
        <v>910</v>
      </c>
      <c r="C45" s="439"/>
      <c r="D45" s="440"/>
      <c r="E45" s="439"/>
      <c r="F45" s="459">
        <v>0.1</v>
      </c>
      <c r="G45" s="459"/>
      <c r="H45" s="451" t="s">
        <v>875</v>
      </c>
      <c r="I45" s="441">
        <f>I44</f>
        <v>98162630075.529297</v>
      </c>
      <c r="J45" s="441" t="s">
        <v>876</v>
      </c>
      <c r="K45" s="460">
        <f t="shared" si="0"/>
        <v>9816263007.5529308</v>
      </c>
      <c r="L45" s="442"/>
      <c r="Q45">
        <f>3700*200000</f>
        <v>740000000</v>
      </c>
    </row>
    <row r="46" spans="1:17">
      <c r="A46" s="466">
        <v>4</v>
      </c>
      <c r="B46" s="439" t="s">
        <v>911</v>
      </c>
      <c r="C46" s="439"/>
      <c r="D46" s="440"/>
      <c r="E46" s="439"/>
      <c r="F46" s="459">
        <v>0.23</v>
      </c>
      <c r="G46" s="459"/>
      <c r="H46" s="451" t="s">
        <v>875</v>
      </c>
      <c r="I46" s="441">
        <f>I47</f>
        <v>98162630075.529297</v>
      </c>
      <c r="J46" s="441" t="s">
        <v>876</v>
      </c>
      <c r="K46" s="460">
        <f t="shared" si="0"/>
        <v>22577404917.371738</v>
      </c>
      <c r="L46" s="442"/>
    </row>
    <row r="47" spans="1:17">
      <c r="A47" s="466">
        <v>5</v>
      </c>
      <c r="B47" s="439" t="s">
        <v>912</v>
      </c>
      <c r="C47" s="439"/>
      <c r="D47" s="440"/>
      <c r="E47" s="439"/>
      <c r="F47" s="459">
        <v>0.1</v>
      </c>
      <c r="G47" s="459"/>
      <c r="H47" s="451" t="s">
        <v>875</v>
      </c>
      <c r="I47" s="441">
        <f>L39</f>
        <v>98162630075.529297</v>
      </c>
      <c r="J47" s="441" t="s">
        <v>876</v>
      </c>
      <c r="K47" s="460">
        <f t="shared" si="0"/>
        <v>9816263007.5529308</v>
      </c>
      <c r="L47" s="442"/>
      <c r="N47">
        <f>'Rekap RAB '!D21/'Pek. CCE'!L39*100</f>
        <v>25.12368558787534</v>
      </c>
    </row>
    <row r="48" spans="1:17">
      <c r="A48" s="466">
        <v>6</v>
      </c>
      <c r="B48" s="439" t="s">
        <v>913</v>
      </c>
      <c r="C48" s="439"/>
      <c r="D48" s="439"/>
      <c r="E48" s="439"/>
      <c r="F48" s="459">
        <v>0.05</v>
      </c>
      <c r="G48" s="459"/>
      <c r="H48" s="451" t="s">
        <v>875</v>
      </c>
      <c r="I48" s="441">
        <f>K38</f>
        <v>98162630075.529297</v>
      </c>
      <c r="J48" s="441" t="s">
        <v>876</v>
      </c>
      <c r="K48" s="460">
        <f t="shared" si="0"/>
        <v>4908131503.7764654</v>
      </c>
      <c r="L48" s="442"/>
    </row>
    <row r="49" spans="1:12">
      <c r="A49" s="466">
        <v>7</v>
      </c>
      <c r="B49" s="439" t="s">
        <v>914</v>
      </c>
      <c r="C49" s="439"/>
      <c r="D49" s="439"/>
      <c r="E49" s="439"/>
      <c r="F49" s="459">
        <v>0.05</v>
      </c>
      <c r="G49" s="459"/>
      <c r="H49" s="451" t="s">
        <v>875</v>
      </c>
      <c r="I49" s="441">
        <f>K38</f>
        <v>98162630075.529297</v>
      </c>
      <c r="J49" s="441" t="s">
        <v>876</v>
      </c>
      <c r="K49" s="460">
        <f t="shared" si="0"/>
        <v>4908131503.7764654</v>
      </c>
      <c r="L49" s="442"/>
    </row>
    <row r="50" spans="1:12">
      <c r="A50" s="466">
        <v>8</v>
      </c>
      <c r="B50" s="439" t="s">
        <v>915</v>
      </c>
      <c r="C50" s="439"/>
      <c r="D50" s="440"/>
      <c r="E50" s="439"/>
      <c r="F50" s="459">
        <v>0.09</v>
      </c>
      <c r="G50" s="459"/>
      <c r="H50" s="451" t="s">
        <v>875</v>
      </c>
      <c r="I50" s="441">
        <f>I47</f>
        <v>98162630075.529297</v>
      </c>
      <c r="J50" s="441" t="s">
        <v>876</v>
      </c>
      <c r="K50" s="460">
        <f t="shared" si="0"/>
        <v>8834636706.797636</v>
      </c>
      <c r="L50" s="442"/>
    </row>
    <row r="51" spans="1:12">
      <c r="A51" s="466">
        <v>9</v>
      </c>
      <c r="B51" s="439" t="s">
        <v>916</v>
      </c>
      <c r="C51" s="439"/>
      <c r="D51" s="439"/>
      <c r="E51" s="439"/>
      <c r="F51" s="459">
        <v>0.02</v>
      </c>
      <c r="G51" s="459"/>
      <c r="H51" s="451" t="s">
        <v>875</v>
      </c>
      <c r="I51" s="441">
        <f>K38</f>
        <v>98162630075.529297</v>
      </c>
      <c r="J51" s="441" t="s">
        <v>876</v>
      </c>
      <c r="K51" s="460">
        <f t="shared" si="0"/>
        <v>1963252601.510586</v>
      </c>
      <c r="L51" s="442"/>
    </row>
    <row r="52" spans="1:12">
      <c r="A52" s="466">
        <v>10</v>
      </c>
      <c r="B52" s="439" t="s">
        <v>917</v>
      </c>
      <c r="C52" s="439"/>
      <c r="D52" s="440"/>
      <c r="E52" s="439"/>
      <c r="F52" s="459">
        <v>0.05</v>
      </c>
      <c r="G52" s="459"/>
      <c r="H52" s="451" t="s">
        <v>875</v>
      </c>
      <c r="I52" s="441">
        <f>I50</f>
        <v>98162630075.529297</v>
      </c>
      <c r="J52" s="441" t="s">
        <v>876</v>
      </c>
      <c r="K52" s="460">
        <f t="shared" si="0"/>
        <v>4908131503.7764654</v>
      </c>
      <c r="L52" s="442"/>
    </row>
    <row r="53" spans="1:12">
      <c r="A53" s="466">
        <v>11</v>
      </c>
      <c r="B53" s="439" t="s">
        <v>918</v>
      </c>
      <c r="C53" s="439"/>
      <c r="D53" s="440"/>
      <c r="E53" s="439"/>
      <c r="F53" s="459">
        <v>0.15</v>
      </c>
      <c r="G53" s="459"/>
      <c r="H53" s="451" t="s">
        <v>875</v>
      </c>
      <c r="I53" s="441">
        <f>I50</f>
        <v>98162630075.529297</v>
      </c>
      <c r="J53" s="441" t="s">
        <v>876</v>
      </c>
      <c r="K53" s="460">
        <f t="shared" si="0"/>
        <v>14724394511.329393</v>
      </c>
      <c r="L53" s="442"/>
    </row>
    <row r="54" spans="1:12">
      <c r="A54" s="438"/>
      <c r="B54" s="439"/>
      <c r="C54" s="439"/>
      <c r="D54" s="439"/>
      <c r="E54" s="439"/>
      <c r="F54" s="459"/>
      <c r="G54" s="459"/>
      <c r="H54" s="451"/>
      <c r="I54" s="441"/>
      <c r="J54" s="441"/>
      <c r="K54" s="461"/>
      <c r="L54" s="442"/>
    </row>
    <row r="55" spans="1:12">
      <c r="A55" s="438"/>
      <c r="B55" s="439" t="s">
        <v>886</v>
      </c>
      <c r="C55" s="439"/>
      <c r="D55" s="462"/>
      <c r="E55" s="462"/>
      <c r="F55" s="462"/>
      <c r="G55" s="462"/>
      <c r="H55" s="462"/>
      <c r="I55" s="462"/>
      <c r="J55" s="462"/>
      <c r="K55" s="462"/>
      <c r="L55" s="463">
        <f>SUM(K43:K53)</f>
        <v>102089135278.55048</v>
      </c>
    </row>
    <row r="56" spans="1:12">
      <c r="A56" s="438"/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42"/>
    </row>
    <row r="57" spans="1:12">
      <c r="A57" s="539"/>
      <c r="B57" s="540"/>
      <c r="C57" s="540"/>
      <c r="D57" s="540" t="s">
        <v>938</v>
      </c>
      <c r="E57" s="540"/>
      <c r="F57" s="540"/>
      <c r="G57" s="540"/>
      <c r="H57" s="540"/>
      <c r="I57" s="540"/>
      <c r="J57" s="540"/>
      <c r="K57" s="540"/>
      <c r="L57" s="541">
        <f>SUM(L39)+L55</f>
        <v>200251765354.07977</v>
      </c>
    </row>
    <row r="58" spans="1:12" ht="15.75" thickBot="1">
      <c r="A58" s="464"/>
      <c r="B58" s="465"/>
      <c r="C58" s="465"/>
      <c r="D58" s="465"/>
      <c r="E58" s="465"/>
      <c r="F58" s="448"/>
      <c r="G58" s="448"/>
      <c r="H58" s="448"/>
      <c r="I58" s="448"/>
      <c r="J58" s="448"/>
      <c r="K58" s="448"/>
      <c r="L58" s="449"/>
    </row>
    <row r="59" spans="1:12">
      <c r="A59" s="531" t="s">
        <v>922</v>
      </c>
      <c r="B59" s="532"/>
      <c r="C59" s="532"/>
      <c r="D59" s="532"/>
      <c r="E59" s="532"/>
      <c r="F59" s="532"/>
      <c r="G59" s="532"/>
      <c r="H59" s="532"/>
      <c r="I59" s="532"/>
      <c r="J59" s="532"/>
      <c r="K59" s="532"/>
      <c r="L59" s="533"/>
    </row>
    <row r="60" spans="1:12">
      <c r="A60" s="467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70"/>
    </row>
    <row r="61" spans="1:12">
      <c r="A61" s="467"/>
      <c r="B61" s="468" t="s">
        <v>923</v>
      </c>
      <c r="C61" s="468"/>
      <c r="D61" s="468"/>
      <c r="E61" s="468"/>
      <c r="F61" s="468"/>
      <c r="G61" s="468"/>
      <c r="H61" s="468"/>
      <c r="I61" s="471"/>
      <c r="J61" s="468"/>
      <c r="K61" s="468"/>
      <c r="L61" s="470"/>
    </row>
    <row r="62" spans="1:12">
      <c r="A62" s="467"/>
      <c r="B62" s="468" t="s">
        <v>924</v>
      </c>
      <c r="C62" s="468"/>
      <c r="D62" s="468"/>
      <c r="E62" s="468"/>
      <c r="F62" s="468"/>
      <c r="G62" s="468"/>
      <c r="H62" s="468"/>
      <c r="I62" s="471"/>
      <c r="J62" s="468"/>
      <c r="K62" s="468"/>
      <c r="L62" s="470"/>
    </row>
    <row r="63" spans="1:12">
      <c r="A63" s="467"/>
      <c r="B63" s="468"/>
      <c r="C63" s="468"/>
      <c r="D63" s="468"/>
      <c r="E63" s="468"/>
      <c r="F63" s="468"/>
      <c r="G63" s="468"/>
      <c r="H63" s="468"/>
      <c r="I63" s="471"/>
      <c r="J63" s="468"/>
      <c r="K63" s="468"/>
      <c r="L63" s="470"/>
    </row>
    <row r="64" spans="1:12">
      <c r="A64" s="467"/>
      <c r="B64" s="468" t="s">
        <v>925</v>
      </c>
      <c r="C64" s="468"/>
      <c r="D64" s="468"/>
      <c r="E64" s="468"/>
      <c r="F64" s="468"/>
      <c r="G64" s="468"/>
      <c r="H64" s="468"/>
      <c r="I64" s="471"/>
      <c r="J64" s="468"/>
      <c r="K64" s="468"/>
      <c r="L64" s="470"/>
    </row>
    <row r="65" spans="1:12">
      <c r="A65" s="467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70"/>
    </row>
    <row r="66" spans="1:12">
      <c r="A66" s="467"/>
      <c r="B66" s="471"/>
      <c r="C66" s="471"/>
      <c r="D66" s="471"/>
      <c r="E66" s="471"/>
      <c r="F66" s="471"/>
      <c r="G66" s="468"/>
      <c r="H66" s="468" t="s">
        <v>926</v>
      </c>
      <c r="I66" s="476">
        <v>100000000000</v>
      </c>
      <c r="J66" s="477" t="s">
        <v>927</v>
      </c>
      <c r="K66" s="476">
        <v>250000000000</v>
      </c>
      <c r="L66" s="470"/>
    </row>
    <row r="67" spans="1:12">
      <c r="A67" s="467"/>
      <c r="B67" s="471"/>
      <c r="C67" s="471"/>
      <c r="D67" s="471"/>
      <c r="E67" s="471"/>
      <c r="F67" s="471"/>
      <c r="G67" s="468"/>
      <c r="H67" s="468"/>
      <c r="I67" s="476"/>
      <c r="J67" s="477"/>
      <c r="K67" s="476"/>
      <c r="L67" s="470"/>
    </row>
    <row r="68" spans="1:12">
      <c r="A68" s="467"/>
      <c r="B68" s="471"/>
      <c r="C68" s="471"/>
      <c r="D68" s="471"/>
      <c r="E68" s="471"/>
      <c r="F68" s="471"/>
      <c r="G68" s="475"/>
      <c r="H68" s="468" t="s">
        <v>928</v>
      </c>
      <c r="I68" s="478">
        <v>2.72</v>
      </c>
      <c r="J68" s="477" t="s">
        <v>929</v>
      </c>
      <c r="K68" s="478">
        <v>2.5</v>
      </c>
      <c r="L68" s="470"/>
    </row>
    <row r="69" spans="1:12">
      <c r="A69" s="467"/>
      <c r="B69" s="471"/>
      <c r="C69" s="471"/>
      <c r="D69" s="471"/>
      <c r="E69" s="471"/>
      <c r="F69" s="471"/>
      <c r="G69" s="479"/>
      <c r="H69" s="468"/>
      <c r="I69" s="468"/>
      <c r="J69" s="468"/>
      <c r="K69" s="468"/>
      <c r="L69" s="470"/>
    </row>
    <row r="70" spans="1:12">
      <c r="A70" s="467"/>
      <c r="B70" s="471"/>
      <c r="C70" s="471"/>
      <c r="D70" s="471"/>
      <c r="E70" s="471"/>
      <c r="F70" s="471"/>
      <c r="G70" s="468"/>
      <c r="H70" s="468" t="s">
        <v>930</v>
      </c>
      <c r="I70" s="469">
        <f>L57</f>
        <v>200251765354.07977</v>
      </c>
      <c r="J70" s="468"/>
      <c r="K70" s="468"/>
      <c r="L70" s="470"/>
    </row>
    <row r="71" spans="1:12">
      <c r="A71" s="467"/>
      <c r="B71" s="471"/>
      <c r="C71" s="471"/>
      <c r="D71" s="471"/>
      <c r="E71" s="471"/>
      <c r="F71" s="471"/>
      <c r="G71" s="468"/>
      <c r="H71" s="468" t="s">
        <v>931</v>
      </c>
      <c r="I71" s="480">
        <f>(((I70-I66)/(K66-I66))*(K68-I68))+I68</f>
        <v>2.572964077480683</v>
      </c>
      <c r="J71" s="468"/>
      <c r="K71" s="468"/>
      <c r="L71" s="470"/>
    </row>
    <row r="72" spans="1:12">
      <c r="A72" s="467"/>
      <c r="B72" s="468"/>
      <c r="C72" s="468"/>
      <c r="D72" s="471"/>
      <c r="E72" s="468"/>
      <c r="F72" s="468"/>
      <c r="G72" s="468"/>
      <c r="H72" s="468"/>
      <c r="I72" s="468"/>
      <c r="J72" s="468"/>
      <c r="K72" s="481"/>
      <c r="L72" s="470"/>
    </row>
    <row r="73" spans="1:12">
      <c r="A73" s="467"/>
      <c r="B73" s="468"/>
      <c r="C73" s="468"/>
      <c r="D73" s="468" t="s">
        <v>932</v>
      </c>
      <c r="E73" s="468"/>
      <c r="F73" s="468"/>
      <c r="G73" s="468"/>
      <c r="H73" s="468"/>
      <c r="I73" s="468"/>
      <c r="J73" s="468"/>
      <c r="K73" s="468"/>
      <c r="L73" s="482">
        <f>I71%*L57</f>
        <v>5152405987.0813808</v>
      </c>
    </row>
    <row r="74" spans="1:12">
      <c r="A74" s="467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82"/>
    </row>
    <row r="75" spans="1:12">
      <c r="A75" s="467"/>
      <c r="B75" s="468" t="s">
        <v>933</v>
      </c>
      <c r="C75" s="468"/>
      <c r="D75" s="471"/>
      <c r="E75" s="468"/>
      <c r="F75" s="468"/>
      <c r="G75" s="468"/>
      <c r="H75" s="468"/>
      <c r="I75" s="468"/>
      <c r="J75" s="468"/>
      <c r="K75" s="468"/>
      <c r="L75" s="483"/>
    </row>
    <row r="76" spans="1:12">
      <c r="A76" s="467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70"/>
    </row>
    <row r="77" spans="1:12">
      <c r="A77" s="467"/>
      <c r="B77" s="468"/>
      <c r="C77" s="468"/>
      <c r="D77" s="468"/>
      <c r="E77" s="468"/>
      <c r="F77" s="468"/>
      <c r="G77" s="468"/>
      <c r="H77" s="468" t="str">
        <f>H66</f>
        <v xml:space="preserve">Xk : </v>
      </c>
      <c r="I77" s="476">
        <f>I66</f>
        <v>100000000000</v>
      </c>
      <c r="J77" s="476" t="str">
        <f>J66</f>
        <v xml:space="preserve">Xk+1 : </v>
      </c>
      <c r="K77" s="476">
        <f>K66</f>
        <v>250000000000</v>
      </c>
      <c r="L77" s="470"/>
    </row>
    <row r="78" spans="1:12">
      <c r="A78" s="467"/>
      <c r="B78" s="468"/>
      <c r="C78" s="468"/>
      <c r="D78" s="468"/>
      <c r="E78" s="468"/>
      <c r="F78" s="468"/>
      <c r="G78" s="468"/>
      <c r="H78" s="468"/>
      <c r="I78" s="476"/>
      <c r="J78" s="476"/>
      <c r="K78" s="476"/>
      <c r="L78" s="470"/>
    </row>
    <row r="79" spans="1:12">
      <c r="A79" s="467"/>
      <c r="B79" s="468"/>
      <c r="C79" s="468"/>
      <c r="D79" s="468"/>
      <c r="E79" s="468"/>
      <c r="F79" s="468"/>
      <c r="G79" s="468"/>
      <c r="H79" s="468" t="str">
        <f>H68</f>
        <v xml:space="preserve">Yk : </v>
      </c>
      <c r="I79" s="478">
        <v>2.19</v>
      </c>
      <c r="J79" s="476" t="str">
        <f>J68</f>
        <v xml:space="preserve">Yk+1 : </v>
      </c>
      <c r="K79" s="478">
        <v>2</v>
      </c>
      <c r="L79" s="470"/>
    </row>
    <row r="80" spans="1:12">
      <c r="A80" s="467"/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70"/>
    </row>
    <row r="81" spans="1:12">
      <c r="A81" s="467"/>
      <c r="B81" s="471"/>
      <c r="C81" s="471"/>
      <c r="D81" s="471"/>
      <c r="E81" s="471"/>
      <c r="F81" s="471"/>
      <c r="G81" s="468"/>
      <c r="H81" s="468" t="str">
        <f>H70</f>
        <v xml:space="preserve">x : </v>
      </c>
      <c r="I81" s="484">
        <f>I70</f>
        <v>200251765354.07977</v>
      </c>
      <c r="J81" s="468"/>
      <c r="K81" s="468"/>
      <c r="L81" s="470"/>
    </row>
    <row r="82" spans="1:12">
      <c r="A82" s="467"/>
      <c r="B82" s="471"/>
      <c r="C82" s="471"/>
      <c r="D82" s="471"/>
      <c r="E82" s="471"/>
      <c r="F82" s="471"/>
      <c r="G82" s="468"/>
      <c r="H82" s="468" t="str">
        <f>H71</f>
        <v xml:space="preserve">y : </v>
      </c>
      <c r="I82" s="480">
        <f>(((K79-I79)/(K77-I77))*(I81-I77))+I79</f>
        <v>2.0630144305514988</v>
      </c>
      <c r="J82" s="468"/>
      <c r="K82" s="468"/>
      <c r="L82" s="470"/>
    </row>
    <row r="83" spans="1:12">
      <c r="A83" s="467"/>
      <c r="B83" s="471"/>
      <c r="C83" s="471"/>
      <c r="D83" s="471"/>
      <c r="E83" s="471"/>
      <c r="F83" s="471"/>
      <c r="G83" s="468"/>
      <c r="H83" s="468"/>
      <c r="I83" s="485"/>
      <c r="J83" s="468"/>
      <c r="K83" s="468"/>
      <c r="L83" s="470"/>
    </row>
    <row r="84" spans="1:12">
      <c r="A84" s="467"/>
      <c r="B84" s="471"/>
      <c r="C84" s="471"/>
      <c r="D84" s="468" t="s">
        <v>934</v>
      </c>
      <c r="E84" s="471"/>
      <c r="F84" s="471"/>
      <c r="G84" s="468"/>
      <c r="H84" s="468"/>
      <c r="I84" s="468"/>
      <c r="J84" s="468"/>
      <c r="K84" s="468"/>
      <c r="L84" s="482">
        <f>I82%*L57</f>
        <v>4131222816.6887922</v>
      </c>
    </row>
    <row r="85" spans="1:12">
      <c r="A85" s="467"/>
      <c r="B85" s="471"/>
      <c r="C85" s="471"/>
      <c r="D85" s="468"/>
      <c r="E85" s="471"/>
      <c r="F85" s="471"/>
      <c r="G85" s="468"/>
      <c r="H85" s="468"/>
      <c r="I85" s="468"/>
      <c r="J85" s="468"/>
      <c r="K85" s="468"/>
      <c r="L85" s="482"/>
    </row>
    <row r="86" spans="1:12">
      <c r="A86" s="467"/>
      <c r="B86" s="468" t="s">
        <v>935</v>
      </c>
      <c r="C86" s="468"/>
      <c r="D86" s="468"/>
      <c r="E86" s="468"/>
      <c r="F86" s="468"/>
      <c r="G86" s="468"/>
      <c r="H86" s="468"/>
      <c r="I86" s="468"/>
      <c r="J86" s="468"/>
      <c r="K86" s="468"/>
      <c r="L86" s="470"/>
    </row>
    <row r="87" spans="1:12">
      <c r="A87" s="467"/>
      <c r="B87" s="468"/>
      <c r="C87" s="468"/>
      <c r="D87" s="468"/>
      <c r="E87" s="468"/>
      <c r="F87" s="468"/>
      <c r="G87" s="468"/>
      <c r="H87" s="468"/>
      <c r="I87" s="468"/>
      <c r="J87" s="468"/>
      <c r="K87" s="468"/>
      <c r="L87" s="470"/>
    </row>
    <row r="88" spans="1:12">
      <c r="A88" s="467"/>
      <c r="B88" s="468"/>
      <c r="C88" s="468"/>
      <c r="D88" s="468"/>
      <c r="E88" s="468"/>
      <c r="F88" s="471"/>
      <c r="G88" s="468"/>
      <c r="H88" s="468" t="str">
        <f>H77</f>
        <v xml:space="preserve">Xk : </v>
      </c>
      <c r="I88" s="476">
        <f>I77</f>
        <v>100000000000</v>
      </c>
      <c r="J88" s="476" t="str">
        <f>J77</f>
        <v xml:space="preserve">Xk+1 : </v>
      </c>
      <c r="K88" s="476">
        <f>K77</f>
        <v>250000000000</v>
      </c>
      <c r="L88" s="470"/>
    </row>
    <row r="89" spans="1:12">
      <c r="A89" s="467"/>
      <c r="B89" s="468"/>
      <c r="C89" s="468"/>
      <c r="D89" s="468"/>
      <c r="E89" s="468"/>
      <c r="F89" s="471"/>
      <c r="G89" s="468"/>
      <c r="H89" s="468"/>
      <c r="I89" s="476"/>
      <c r="J89" s="476"/>
      <c r="K89" s="476"/>
      <c r="L89" s="470"/>
    </row>
    <row r="90" spans="1:12">
      <c r="A90" s="467"/>
      <c r="B90" s="468"/>
      <c r="C90" s="468"/>
      <c r="D90" s="468"/>
      <c r="E90" s="468"/>
      <c r="F90" s="471"/>
      <c r="G90" s="468"/>
      <c r="H90" s="468" t="str">
        <f>H79</f>
        <v xml:space="preserve">Yk : </v>
      </c>
      <c r="I90" s="478">
        <v>0.57999999999999996</v>
      </c>
      <c r="J90" s="476" t="str">
        <f>J79</f>
        <v xml:space="preserve">Yk+1 : </v>
      </c>
      <c r="K90" s="478">
        <v>0.31</v>
      </c>
      <c r="L90" s="470"/>
    </row>
    <row r="91" spans="1:12">
      <c r="A91" s="467"/>
      <c r="B91" s="468"/>
      <c r="C91" s="468"/>
      <c r="D91" s="468"/>
      <c r="E91" s="468"/>
      <c r="F91" s="471"/>
      <c r="G91" s="468"/>
      <c r="H91" s="468"/>
      <c r="I91" s="468"/>
      <c r="J91" s="468"/>
      <c r="K91" s="468"/>
      <c r="L91" s="470"/>
    </row>
    <row r="92" spans="1:12">
      <c r="A92" s="467"/>
      <c r="B92" s="471"/>
      <c r="C92" s="471"/>
      <c r="D92" s="471"/>
      <c r="E92" s="471"/>
      <c r="F92" s="471"/>
      <c r="G92" s="468"/>
      <c r="H92" s="468" t="str">
        <f>H81</f>
        <v xml:space="preserve">x : </v>
      </c>
      <c r="I92" s="469">
        <f>I81</f>
        <v>200251765354.07977</v>
      </c>
      <c r="J92" s="468"/>
      <c r="K92" s="468"/>
      <c r="L92" s="470"/>
    </row>
    <row r="93" spans="1:12">
      <c r="A93" s="467"/>
      <c r="B93" s="471"/>
      <c r="C93" s="471"/>
      <c r="D93" s="471"/>
      <c r="E93" s="471"/>
      <c r="F93" s="471"/>
      <c r="G93" s="468"/>
      <c r="H93" s="468" t="str">
        <f>H82</f>
        <v xml:space="preserve">y : </v>
      </c>
      <c r="I93" s="480">
        <f>(((K90-I90)/(K88-I88))*(I92-I88))+I90</f>
        <v>0.39954682236265637</v>
      </c>
      <c r="J93" s="468"/>
      <c r="K93" s="468"/>
      <c r="L93" s="470"/>
    </row>
    <row r="94" spans="1:12">
      <c r="A94" s="467"/>
      <c r="B94" s="471"/>
      <c r="C94" s="471"/>
      <c r="D94" s="471"/>
      <c r="E94" s="471"/>
      <c r="F94" s="471"/>
      <c r="G94" s="468"/>
      <c r="H94" s="468"/>
      <c r="I94" s="485"/>
      <c r="J94" s="468"/>
      <c r="K94" s="468"/>
      <c r="L94" s="470"/>
    </row>
    <row r="95" spans="1:12">
      <c r="A95" s="467"/>
      <c r="B95" s="471"/>
      <c r="C95" s="471"/>
      <c r="D95" s="468" t="s">
        <v>936</v>
      </c>
      <c r="E95" s="471"/>
      <c r="F95" s="471"/>
      <c r="G95" s="468"/>
      <c r="H95" s="468"/>
      <c r="I95" s="485"/>
      <c r="J95" s="468"/>
      <c r="K95" s="468"/>
      <c r="L95" s="482">
        <f>I93%*L57</f>
        <v>800099565.19734859</v>
      </c>
    </row>
    <row r="96" spans="1:12">
      <c r="A96" s="467"/>
      <c r="B96" s="468"/>
      <c r="C96" s="468"/>
      <c r="D96" s="468"/>
      <c r="E96" s="468"/>
      <c r="F96" s="471"/>
      <c r="G96" s="468"/>
      <c r="H96" s="468"/>
      <c r="I96" s="468"/>
      <c r="J96" s="468"/>
      <c r="K96" s="468"/>
      <c r="L96" s="470"/>
    </row>
    <row r="97" spans="1:12">
      <c r="A97" s="534"/>
      <c r="B97" s="535"/>
      <c r="C97" s="535"/>
      <c r="D97" s="535" t="s">
        <v>939</v>
      </c>
      <c r="E97" s="535"/>
      <c r="F97" s="535"/>
      <c r="G97" s="535"/>
      <c r="H97" s="535"/>
      <c r="I97" s="535"/>
      <c r="J97" s="535"/>
      <c r="K97" s="536" t="s">
        <v>876</v>
      </c>
      <c r="L97" s="537">
        <f>L95+L84+L73</f>
        <v>10083728368.967522</v>
      </c>
    </row>
    <row r="98" spans="1:12">
      <c r="A98" s="467"/>
      <c r="B98" s="468"/>
      <c r="C98" s="468"/>
      <c r="D98" s="468"/>
      <c r="E98" s="468"/>
      <c r="F98" s="468"/>
      <c r="G98" s="468"/>
      <c r="H98" s="468"/>
      <c r="I98" s="468"/>
      <c r="J98" s="468"/>
      <c r="K98" s="486"/>
      <c r="L98" s="470"/>
    </row>
    <row r="99" spans="1:12">
      <c r="A99" s="542"/>
      <c r="B99" s="543"/>
      <c r="C99" s="543"/>
      <c r="D99" s="543" t="s">
        <v>940</v>
      </c>
      <c r="E99" s="543"/>
      <c r="F99" s="543"/>
      <c r="G99" s="543"/>
      <c r="H99" s="543"/>
      <c r="I99" s="543"/>
      <c r="J99" s="543"/>
      <c r="K99" s="544" t="s">
        <v>876</v>
      </c>
      <c r="L99" s="545">
        <f>L57+L97</f>
        <v>210335493723.0473</v>
      </c>
    </row>
    <row r="100" spans="1:12" ht="15.75" thickBot="1">
      <c r="A100" s="472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4"/>
    </row>
  </sheetData>
  <mergeCells count="3">
    <mergeCell ref="A2:L2"/>
    <mergeCell ref="A3:L3"/>
    <mergeCell ref="A6:F6"/>
  </mergeCells>
  <pageMargins left="0.7" right="0.7" top="0.75" bottom="0.75" header="0.3" footer="0.3"/>
  <pageSetup orientation="portrait" r:id="rId1"/>
  <drawing r:id="rId2"/>
  <legacyDrawing r:id="rId3"/>
  <oleObjects>
    <oleObject progId="Equation.3" shapeId="2049" r:id="rId4"/>
    <oleObject progId="Equation.3" shapeId="2050" r:id="rId5"/>
    <oleObject progId="Equation.3" shapeId="2051" r:id="rId6"/>
  </oleObjec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36"/>
  <sheetViews>
    <sheetView topLeftCell="A18" workbookViewId="0">
      <selection activeCell="J35" sqref="J35"/>
    </sheetView>
  </sheetViews>
  <sheetFormatPr defaultRowHeight="15"/>
  <cols>
    <col min="1" max="1" width="25.85546875" customWidth="1"/>
    <col min="2" max="2" width="15.140625" customWidth="1"/>
    <col min="3" max="3" width="16.5703125" customWidth="1"/>
    <col min="4" max="4" width="18.85546875" customWidth="1"/>
    <col min="7" max="7" width="9.140625" customWidth="1"/>
    <col min="8" max="8" width="15.7109375" customWidth="1"/>
  </cols>
  <sheetData>
    <row r="1" spans="1:4">
      <c r="A1" s="406"/>
      <c r="B1" s="406" t="s">
        <v>892</v>
      </c>
      <c r="C1" s="406" t="s">
        <v>893</v>
      </c>
      <c r="D1" s="406" t="s">
        <v>895</v>
      </c>
    </row>
    <row r="2" spans="1:4">
      <c r="A2" t="s">
        <v>894</v>
      </c>
      <c r="B2">
        <f>3807877606/1000000</f>
        <v>3807.877606</v>
      </c>
      <c r="C2">
        <f>30073195/1000000</f>
        <v>30.073194999999998</v>
      </c>
      <c r="D2">
        <f>B2-(C2+C3+C4+C5)</f>
        <v>3725.357481</v>
      </c>
    </row>
    <row r="3" spans="1:4">
      <c r="C3">
        <f>30073195/1000000</f>
        <v>30.073194999999998</v>
      </c>
    </row>
    <row r="4" spans="1:4">
      <c r="C4">
        <f>16740273/1000000</f>
        <v>16.740272999999998</v>
      </c>
    </row>
    <row r="5" spans="1:4">
      <c r="C5">
        <f>5633462/1000000</f>
        <v>5.6334619999999997</v>
      </c>
    </row>
    <row r="6" spans="1:4">
      <c r="A6" t="s">
        <v>896</v>
      </c>
      <c r="B6">
        <f>3785064578/1000000</f>
        <v>3785.064578</v>
      </c>
      <c r="C6">
        <f>30103744/1000000</f>
        <v>30.103743999999999</v>
      </c>
      <c r="D6">
        <f>B6-(C6+C7+C8+C9+C10)</f>
        <v>3598.9708989999999</v>
      </c>
    </row>
    <row r="7" spans="1:4">
      <c r="C7">
        <f>30096211/1000000</f>
        <v>30.096211</v>
      </c>
    </row>
    <row r="8" spans="1:4">
      <c r="C8">
        <f>16758294/1000000</f>
        <v>16.758293999999999</v>
      </c>
    </row>
    <row r="9" spans="1:4">
      <c r="C9">
        <f>5636491/1000000</f>
        <v>5.6364910000000004</v>
      </c>
    </row>
    <row r="10" spans="1:4">
      <c r="C10">
        <f>103498939/1000000</f>
        <v>103.49893899999999</v>
      </c>
    </row>
    <row r="11" spans="1:4">
      <c r="A11" t="s">
        <v>897</v>
      </c>
      <c r="B11">
        <f>3760051249/1000000</f>
        <v>3760.0512490000001</v>
      </c>
      <c r="C11">
        <f>30103744/1000000</f>
        <v>30.103743999999999</v>
      </c>
      <c r="D11">
        <f>B11-(C11+C12+C13+C14)</f>
        <v>3677.4565090000001</v>
      </c>
    </row>
    <row r="12" spans="1:4">
      <c r="C12">
        <f>30096211/1000000</f>
        <v>30.096211</v>
      </c>
    </row>
    <row r="13" spans="1:4">
      <c r="C13">
        <f>16758294/1000000</f>
        <v>16.758293999999999</v>
      </c>
    </row>
    <row r="14" spans="1:4">
      <c r="C14">
        <f>5636491/1000000</f>
        <v>5.6364910000000004</v>
      </c>
    </row>
    <row r="15" spans="1:4">
      <c r="A15" t="s">
        <v>898</v>
      </c>
      <c r="B15">
        <f>B11</f>
        <v>3760.0512490000001</v>
      </c>
      <c r="C15">
        <f>30103744/1000000</f>
        <v>30.103743999999999</v>
      </c>
      <c r="D15">
        <f>B15-(C15+C16+C17+C18)</f>
        <v>3677.4565090000001</v>
      </c>
    </row>
    <row r="16" spans="1:4">
      <c r="C16">
        <f>30096211/1000000</f>
        <v>30.096211</v>
      </c>
    </row>
    <row r="17" spans="1:8">
      <c r="C17">
        <f>16758294/1000000</f>
        <v>16.758293999999999</v>
      </c>
    </row>
    <row r="18" spans="1:8">
      <c r="C18">
        <f>5636491/1000000</f>
        <v>5.6364910000000004</v>
      </c>
    </row>
    <row r="19" spans="1:8">
      <c r="A19" t="s">
        <v>899</v>
      </c>
      <c r="B19">
        <f>3759993913/1000000</f>
        <v>3759.9939129999998</v>
      </c>
      <c r="C19">
        <f>30103744/1000000</f>
        <v>30.103743999999999</v>
      </c>
      <c r="D19">
        <f>B19-(C19+C20+C21+C22+C23)</f>
        <v>3346.6177729999999</v>
      </c>
    </row>
    <row r="20" spans="1:8">
      <c r="C20">
        <f>30096211/1000000</f>
        <v>30.096211</v>
      </c>
    </row>
    <row r="21" spans="1:8">
      <c r="C21">
        <f>16758294/1000000</f>
        <v>16.758293999999999</v>
      </c>
    </row>
    <row r="22" spans="1:8">
      <c r="C22">
        <f>5636491/1000000</f>
        <v>5.6364910000000004</v>
      </c>
    </row>
    <row r="23" spans="1:8">
      <c r="C23">
        <f>330781400/1000000</f>
        <v>330.78140000000002</v>
      </c>
    </row>
    <row r="24" spans="1:8">
      <c r="A24" t="s">
        <v>900</v>
      </c>
      <c r="B24">
        <f>H24/1000000</f>
        <v>1357.0143189999999</v>
      </c>
      <c r="C24">
        <f>420374426/1000000</f>
        <v>420.37442600000003</v>
      </c>
      <c r="D24">
        <f>(B24)-(C24+C25+C26+C27+C28)</f>
        <v>766.36068699999987</v>
      </c>
      <c r="H24">
        <v>1357014319</v>
      </c>
    </row>
    <row r="25" spans="1:8">
      <c r="C25">
        <f>71997742/1000000</f>
        <v>71.997742000000002</v>
      </c>
    </row>
    <row r="26" spans="1:8">
      <c r="C26">
        <f>32760488/1000000</f>
        <v>32.760488000000002</v>
      </c>
    </row>
    <row r="27" spans="1:8">
      <c r="C27">
        <f t="shared" ref="C27:C28" si="0">32760488/1000000</f>
        <v>32.760488000000002</v>
      </c>
    </row>
    <row r="28" spans="1:8">
      <c r="C28">
        <f t="shared" si="0"/>
        <v>32.760488000000002</v>
      </c>
    </row>
    <row r="29" spans="1:8">
      <c r="B29">
        <f>H30/1000000</f>
        <v>529.00314900000001</v>
      </c>
      <c r="D29">
        <f>B29</f>
        <v>529.00314900000001</v>
      </c>
    </row>
    <row r="30" spans="1:8">
      <c r="B30">
        <f>H31/1000000</f>
        <v>573.84382700000003</v>
      </c>
      <c r="C30">
        <f>293517689/1000000</f>
        <v>293.51768900000002</v>
      </c>
      <c r="D30">
        <f>B30-C30</f>
        <v>280.32613800000001</v>
      </c>
      <c r="H30">
        <v>529003149</v>
      </c>
    </row>
    <row r="31" spans="1:8">
      <c r="B31">
        <f>H24/1000000</f>
        <v>1357.0143189999999</v>
      </c>
      <c r="C31">
        <f>489689842/1000000</f>
        <v>489.689842</v>
      </c>
      <c r="D31">
        <f>B31-(C31+C32+C33+C34)</f>
        <v>769.04301299999986</v>
      </c>
      <c r="H31">
        <v>573843827</v>
      </c>
    </row>
    <row r="32" spans="1:8">
      <c r="C32">
        <f t="shared" ref="C32:C34" si="1">32760488/1000000</f>
        <v>32.760488000000002</v>
      </c>
      <c r="D32">
        <f>SUM(D24:D31)</f>
        <v>2344.7329869999999</v>
      </c>
    </row>
    <row r="33" spans="3:4">
      <c r="C33">
        <f t="shared" si="1"/>
        <v>32.760488000000002</v>
      </c>
    </row>
    <row r="34" spans="3:4">
      <c r="C34">
        <f t="shared" si="1"/>
        <v>32.760488000000002</v>
      </c>
    </row>
    <row r="36" spans="3:4">
      <c r="D36" s="274">
        <f>SUM(D2:D34)</f>
        <v>22715.325144999999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Sheet6</vt:lpstr>
      <vt:lpstr>plat lantai</vt:lpstr>
      <vt:lpstr>pek. balok</vt:lpstr>
      <vt:lpstr>pek.Kolom</vt:lpstr>
      <vt:lpstr>Sheet2</vt:lpstr>
      <vt:lpstr>Bahan &amp; Upah</vt:lpstr>
      <vt:lpstr>Analisa Print</vt:lpstr>
      <vt:lpstr>Rekap Volume</vt:lpstr>
      <vt:lpstr>RAB</vt:lpstr>
      <vt:lpstr>Rekap RAB </vt:lpstr>
      <vt:lpstr>TS</vt:lpstr>
      <vt:lpstr>TS &amp; CS</vt:lpstr>
      <vt:lpstr>Plan TS</vt:lpstr>
      <vt:lpstr>Rekap CF</vt:lpstr>
      <vt:lpstr>Cash Flow</vt:lpstr>
      <vt:lpstr>Pek. CCE</vt:lpstr>
      <vt:lpstr>Sheet3</vt:lpstr>
      <vt:lpstr>'Analisa Print'!Print_Area</vt:lpstr>
      <vt:lpstr>'Bahan &amp; Upah'!Print_Area</vt:lpstr>
      <vt:lpstr>'Cash Flow'!Print_Area</vt:lpstr>
      <vt:lpstr>RAB!Print_Area</vt:lpstr>
      <vt:lpstr>'Rekap RAB '!Print_Area</vt:lpstr>
      <vt:lpstr>'Rekap Volume'!Print_Area</vt:lpstr>
      <vt:lpstr>TS!Print_Area</vt:lpstr>
      <vt:lpstr>'TS &amp; CS'!Print_Area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2015-12-22T02:09:05Z</cp:lastPrinted>
  <dcterms:created xsi:type="dcterms:W3CDTF">2015-10-09T18:06:29Z</dcterms:created>
  <dcterms:modified xsi:type="dcterms:W3CDTF">2015-12-30T05:28:24Z</dcterms:modified>
</cp:coreProperties>
</file>